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842" activeTab="1"/>
  </bookViews>
  <sheets>
    <sheet name="7-Day PP (40 Hour WW)" sheetId="1" r:id="rId1"/>
    <sheet name="28-Day PP (7k)" sheetId="19" r:id="rId2"/>
    <sheet name="Budget Option A" sheetId="9" r:id="rId3"/>
    <sheet name="Budget Option B" sheetId="18" r:id="rId4"/>
    <sheet name="Budget Option C" sheetId="8" r:id="rId5"/>
    <sheet name="A, B, &amp; C Differences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9" l="1"/>
  <c r="L5" i="9" s="1"/>
  <c r="M5" i="9" s="1"/>
  <c r="N5" i="9" s="1"/>
  <c r="K5" i="18"/>
  <c r="L5" i="18" s="1"/>
  <c r="I55" i="8"/>
  <c r="J55" i="8" s="1"/>
  <c r="K55" i="8" s="1"/>
  <c r="L55" i="8" s="1"/>
  <c r="M55" i="8" s="1"/>
  <c r="N55" i="8" s="1"/>
  <c r="H88" i="9"/>
  <c r="H79" i="9"/>
  <c r="H68" i="9"/>
  <c r="H60" i="9"/>
  <c r="H52" i="9"/>
  <c r="H46" i="9"/>
  <c r="H39" i="9"/>
  <c r="H26" i="9"/>
  <c r="H19" i="9"/>
  <c r="H12" i="9"/>
  <c r="H88" i="18"/>
  <c r="H79" i="18"/>
  <c r="H68" i="18"/>
  <c r="H60" i="18"/>
  <c r="H52" i="18"/>
  <c r="H46" i="18"/>
  <c r="H39" i="18"/>
  <c r="H26" i="18"/>
  <c r="H19" i="18"/>
  <c r="H12" i="18"/>
  <c r="J10" i="8"/>
  <c r="K10" i="8" s="1"/>
  <c r="L10" i="8" s="1"/>
  <c r="M10" i="8" s="1"/>
  <c r="N10" i="8" s="1"/>
  <c r="J9" i="8"/>
  <c r="K9" i="8" s="1"/>
  <c r="L9" i="8" s="1"/>
  <c r="M9" i="8" s="1"/>
  <c r="N9" i="8" s="1"/>
  <c r="K5" i="8"/>
  <c r="L5" i="8" l="1"/>
  <c r="M5" i="8" s="1"/>
  <c r="M5" i="18"/>
  <c r="AD29" i="19"/>
  <c r="AD28" i="19"/>
  <c r="AD27" i="19"/>
  <c r="AD26" i="19"/>
  <c r="AD27" i="1"/>
  <c r="AD28" i="1"/>
  <c r="AD29" i="1"/>
  <c r="AD26" i="1"/>
  <c r="N5" i="18" l="1"/>
  <c r="N5" i="8"/>
  <c r="C55" i="19"/>
  <c r="C55" i="1"/>
  <c r="I13" i="18" l="1"/>
  <c r="I18" i="18"/>
  <c r="J18" i="18" s="1"/>
  <c r="M9" i="9"/>
  <c r="Z21" i="19"/>
  <c r="Z21" i="1"/>
  <c r="C6" i="19"/>
  <c r="E6" i="19" s="1"/>
  <c r="U8" i="19" s="1"/>
  <c r="U15" i="19" s="1"/>
  <c r="W104" i="19"/>
  <c r="V104" i="19"/>
  <c r="U104" i="19"/>
  <c r="W103" i="19"/>
  <c r="V103" i="19"/>
  <c r="U103" i="19"/>
  <c r="W102" i="19"/>
  <c r="V102" i="19"/>
  <c r="U102" i="19"/>
  <c r="W101" i="19"/>
  <c r="V101" i="19"/>
  <c r="U101" i="19"/>
  <c r="W100" i="19"/>
  <c r="V100" i="19"/>
  <c r="U100" i="19"/>
  <c r="W99" i="19"/>
  <c r="V99" i="19"/>
  <c r="U99" i="19"/>
  <c r="W98" i="19"/>
  <c r="V98" i="19"/>
  <c r="U98" i="19"/>
  <c r="W97" i="19"/>
  <c r="V97" i="19"/>
  <c r="U97" i="19"/>
  <c r="W96" i="19"/>
  <c r="V96" i="19"/>
  <c r="U96" i="19"/>
  <c r="W95" i="19"/>
  <c r="V95" i="19"/>
  <c r="U95" i="19"/>
  <c r="W94" i="19"/>
  <c r="V94" i="19"/>
  <c r="W90" i="19"/>
  <c r="V90" i="19"/>
  <c r="U90" i="19"/>
  <c r="W89" i="19"/>
  <c r="V89" i="19"/>
  <c r="U89" i="19"/>
  <c r="W88" i="19"/>
  <c r="V88" i="19"/>
  <c r="U88" i="19"/>
  <c r="W87" i="19"/>
  <c r="V87" i="19"/>
  <c r="U87" i="19"/>
  <c r="W86" i="19"/>
  <c r="V86" i="19"/>
  <c r="U86" i="19"/>
  <c r="W85" i="19"/>
  <c r="V85" i="19"/>
  <c r="U85" i="19"/>
  <c r="W84" i="19"/>
  <c r="V84" i="19"/>
  <c r="U84" i="19"/>
  <c r="W83" i="19"/>
  <c r="V83" i="19"/>
  <c r="U83" i="19"/>
  <c r="W82" i="19"/>
  <c r="V82" i="19"/>
  <c r="U82" i="19"/>
  <c r="W81" i="19"/>
  <c r="V81" i="19"/>
  <c r="U81" i="19"/>
  <c r="W80" i="19"/>
  <c r="V80" i="19"/>
  <c r="W76" i="19"/>
  <c r="V76" i="19"/>
  <c r="U76" i="19"/>
  <c r="W75" i="19"/>
  <c r="V75" i="19"/>
  <c r="U75" i="19"/>
  <c r="W74" i="19"/>
  <c r="V74" i="19"/>
  <c r="U74" i="19"/>
  <c r="W73" i="19"/>
  <c r="V73" i="19"/>
  <c r="U73" i="19"/>
  <c r="W72" i="19"/>
  <c r="V72" i="19"/>
  <c r="U72" i="19"/>
  <c r="W71" i="19"/>
  <c r="V71" i="19"/>
  <c r="U71" i="19"/>
  <c r="W70" i="19"/>
  <c r="V70" i="19"/>
  <c r="U70" i="19"/>
  <c r="W69" i="19"/>
  <c r="V69" i="19"/>
  <c r="U69" i="19"/>
  <c r="W68" i="19"/>
  <c r="V68" i="19"/>
  <c r="U68" i="19"/>
  <c r="W67" i="19"/>
  <c r="V67" i="19"/>
  <c r="U67" i="19"/>
  <c r="W66" i="19"/>
  <c r="V66" i="19"/>
  <c r="A66" i="19"/>
  <c r="C66" i="19" s="1"/>
  <c r="A65" i="19"/>
  <c r="C65" i="19" s="1"/>
  <c r="A64" i="19"/>
  <c r="C64" i="19" s="1"/>
  <c r="A63" i="19"/>
  <c r="W62" i="19"/>
  <c r="V62" i="19"/>
  <c r="U62" i="19"/>
  <c r="A62" i="19"/>
  <c r="C62" i="19" s="1"/>
  <c r="W61" i="19"/>
  <c r="V61" i="19"/>
  <c r="U61" i="19"/>
  <c r="A61" i="19"/>
  <c r="C61" i="19" s="1"/>
  <c r="W60" i="19"/>
  <c r="V60" i="19"/>
  <c r="U60" i="19"/>
  <c r="A60" i="19"/>
  <c r="C60" i="19" s="1"/>
  <c r="W59" i="19"/>
  <c r="V59" i="19"/>
  <c r="X59" i="19" s="1"/>
  <c r="U59" i="19"/>
  <c r="A59" i="19"/>
  <c r="C59" i="19" s="1"/>
  <c r="W58" i="19"/>
  <c r="V58" i="19"/>
  <c r="U58" i="19"/>
  <c r="A58" i="19"/>
  <c r="C58" i="19" s="1"/>
  <c r="W57" i="19"/>
  <c r="V57" i="19"/>
  <c r="U57" i="19"/>
  <c r="A57" i="19"/>
  <c r="C57" i="19" s="1"/>
  <c r="W56" i="19"/>
  <c r="V56" i="19"/>
  <c r="U56" i="19"/>
  <c r="A56" i="19"/>
  <c r="C56" i="19" s="1"/>
  <c r="W55" i="19"/>
  <c r="V55" i="19"/>
  <c r="U55" i="19"/>
  <c r="B55" i="19"/>
  <c r="D55" i="19" s="1"/>
  <c r="W54" i="19"/>
  <c r="V54" i="19"/>
  <c r="U54" i="19"/>
  <c r="W53" i="19"/>
  <c r="V53" i="19"/>
  <c r="U53" i="19"/>
  <c r="W52" i="19"/>
  <c r="V52" i="19"/>
  <c r="W49" i="19"/>
  <c r="V49" i="19"/>
  <c r="U49" i="19"/>
  <c r="W48" i="19"/>
  <c r="V48" i="19"/>
  <c r="U48" i="19"/>
  <c r="W47" i="19"/>
  <c r="V47" i="19"/>
  <c r="U47" i="19"/>
  <c r="W46" i="19"/>
  <c r="V46" i="19"/>
  <c r="U46" i="19"/>
  <c r="W45" i="19"/>
  <c r="V45" i="19"/>
  <c r="U45" i="19"/>
  <c r="W44" i="19"/>
  <c r="V44" i="19"/>
  <c r="U44" i="19"/>
  <c r="W43" i="19"/>
  <c r="V43" i="19"/>
  <c r="U43" i="19"/>
  <c r="W42" i="19"/>
  <c r="V42" i="19"/>
  <c r="U42" i="19"/>
  <c r="W41" i="19"/>
  <c r="V41" i="19"/>
  <c r="U41" i="19"/>
  <c r="W40" i="19"/>
  <c r="V40" i="19"/>
  <c r="U40" i="19"/>
  <c r="W39" i="19"/>
  <c r="V39" i="19"/>
  <c r="A39" i="19"/>
  <c r="C39" i="19" s="1"/>
  <c r="W36" i="19"/>
  <c r="V36" i="19"/>
  <c r="U36" i="19"/>
  <c r="W35" i="19"/>
  <c r="V35" i="19"/>
  <c r="U35" i="19"/>
  <c r="W34" i="19"/>
  <c r="V34" i="19"/>
  <c r="U34" i="19"/>
  <c r="W33" i="19"/>
  <c r="V33" i="19"/>
  <c r="U33" i="19"/>
  <c r="W32" i="19"/>
  <c r="V32" i="19"/>
  <c r="U32" i="19"/>
  <c r="W31" i="19"/>
  <c r="V31" i="19"/>
  <c r="U31" i="19"/>
  <c r="W30" i="19"/>
  <c r="V30" i="19"/>
  <c r="U30" i="19"/>
  <c r="W29" i="19"/>
  <c r="V29" i="19"/>
  <c r="U29" i="19"/>
  <c r="W28" i="19"/>
  <c r="V28" i="19"/>
  <c r="U28" i="19"/>
  <c r="A28" i="19"/>
  <c r="B28" i="19" s="1"/>
  <c r="W27" i="19"/>
  <c r="V27" i="19"/>
  <c r="U27" i="19"/>
  <c r="W26" i="19"/>
  <c r="V26" i="19"/>
  <c r="X26" i="19" s="1"/>
  <c r="W22" i="19"/>
  <c r="W21" i="19"/>
  <c r="AB20" i="19"/>
  <c r="AD20" i="19" s="1"/>
  <c r="AF20" i="19" s="1"/>
  <c r="AH20" i="19" s="1"/>
  <c r="AJ20" i="19" s="1"/>
  <c r="AL20" i="19" s="1"/>
  <c r="N9" i="9" s="1"/>
  <c r="AB19" i="19"/>
  <c r="AD19" i="19" s="1"/>
  <c r="AF19" i="19" s="1"/>
  <c r="AH19" i="19" s="1"/>
  <c r="AJ19" i="19" s="1"/>
  <c r="AL19" i="19" s="1"/>
  <c r="N10" i="9" s="1"/>
  <c r="W18" i="19"/>
  <c r="W17" i="19"/>
  <c r="A17" i="19"/>
  <c r="C17" i="19" s="1"/>
  <c r="W16" i="19"/>
  <c r="A16" i="19"/>
  <c r="C16" i="19" s="1"/>
  <c r="W15" i="19"/>
  <c r="A15" i="19"/>
  <c r="C15" i="19" s="1"/>
  <c r="W14" i="19"/>
  <c r="A14" i="19"/>
  <c r="B14" i="19" s="1"/>
  <c r="W13" i="19"/>
  <c r="A13" i="19"/>
  <c r="A24" i="19" s="1"/>
  <c r="C24" i="19" s="1"/>
  <c r="S12" i="19"/>
  <c r="S23" i="19" s="1"/>
  <c r="A12" i="19"/>
  <c r="A45" i="19" s="1"/>
  <c r="C45" i="19" s="1"/>
  <c r="A11" i="19"/>
  <c r="A33" i="19" s="1"/>
  <c r="C33" i="19" s="1"/>
  <c r="A10" i="19"/>
  <c r="A32" i="19" s="1"/>
  <c r="C32" i="19" s="1"/>
  <c r="A9" i="19"/>
  <c r="A42" i="19" s="1"/>
  <c r="C42" i="19" s="1"/>
  <c r="A8" i="19"/>
  <c r="A41" i="19" s="1"/>
  <c r="C41" i="19" s="1"/>
  <c r="A7" i="19"/>
  <c r="A40" i="19" s="1"/>
  <c r="C40" i="19" s="1"/>
  <c r="B6" i="19"/>
  <c r="M10" i="9" l="1"/>
  <c r="X85" i="19"/>
  <c r="X99" i="19"/>
  <c r="L9" i="18"/>
  <c r="M9" i="18"/>
  <c r="M10" i="18"/>
  <c r="N10" i="18"/>
  <c r="X34" i="19"/>
  <c r="X44" i="19"/>
  <c r="X95" i="19"/>
  <c r="X98" i="19"/>
  <c r="J10" i="9"/>
  <c r="X31" i="19"/>
  <c r="X62" i="19"/>
  <c r="X72" i="19"/>
  <c r="X97" i="19"/>
  <c r="AL21" i="19"/>
  <c r="J9" i="9"/>
  <c r="K9" i="18"/>
  <c r="L10" i="18"/>
  <c r="L12" i="18" s="1"/>
  <c r="A74" i="19"/>
  <c r="C74" i="19" s="1"/>
  <c r="C63" i="19"/>
  <c r="AB21" i="19"/>
  <c r="K9" i="9"/>
  <c r="N9" i="18"/>
  <c r="N12" i="18" s="1"/>
  <c r="X57" i="19"/>
  <c r="X96" i="19"/>
  <c r="AD21" i="19"/>
  <c r="K10" i="9"/>
  <c r="M12" i="18"/>
  <c r="AF21" i="19"/>
  <c r="I9" i="9"/>
  <c r="I10" i="18"/>
  <c r="X40" i="19"/>
  <c r="X43" i="19"/>
  <c r="X53" i="19"/>
  <c r="AH21" i="19"/>
  <c r="I10" i="9"/>
  <c r="L9" i="9"/>
  <c r="I9" i="18"/>
  <c r="J10" i="18"/>
  <c r="J12" i="18" s="1"/>
  <c r="X36" i="19"/>
  <c r="X46" i="19"/>
  <c r="X66" i="19"/>
  <c r="X69" i="19"/>
  <c r="AJ21" i="19"/>
  <c r="L10" i="9"/>
  <c r="J9" i="18"/>
  <c r="K10" i="18"/>
  <c r="X101" i="19"/>
  <c r="X103" i="19"/>
  <c r="X102" i="19"/>
  <c r="X100" i="19"/>
  <c r="X80" i="19"/>
  <c r="A69" i="19"/>
  <c r="C69" i="19" s="1"/>
  <c r="B60" i="19"/>
  <c r="D60" i="19" s="1"/>
  <c r="B65" i="19"/>
  <c r="D65" i="19" s="1"/>
  <c r="E65" i="19" s="1"/>
  <c r="A72" i="19"/>
  <c r="C72" i="19" s="1"/>
  <c r="B63" i="19"/>
  <c r="D63" i="19" s="1"/>
  <c r="E63" i="19" s="1"/>
  <c r="A67" i="19"/>
  <c r="C67" i="19" s="1"/>
  <c r="B57" i="19"/>
  <c r="D57" i="19" s="1"/>
  <c r="E57" i="19" s="1"/>
  <c r="AB14" i="19" s="1"/>
  <c r="B64" i="19"/>
  <c r="D64" i="19" s="1"/>
  <c r="E64" i="19" s="1"/>
  <c r="K18" i="18"/>
  <c r="J19" i="18"/>
  <c r="J13" i="18"/>
  <c r="I19" i="18"/>
  <c r="X29" i="19"/>
  <c r="X49" i="19"/>
  <c r="X94" i="19"/>
  <c r="B56" i="19"/>
  <c r="D56" i="19" s="1"/>
  <c r="X104" i="19"/>
  <c r="X27" i="19"/>
  <c r="X52" i="19"/>
  <c r="E55" i="19"/>
  <c r="X70" i="19"/>
  <c r="A73" i="19"/>
  <c r="C73" i="19" s="1"/>
  <c r="X48" i="19"/>
  <c r="X55" i="19"/>
  <c r="B58" i="19"/>
  <c r="D58" i="19" s="1"/>
  <c r="X73" i="19"/>
  <c r="X87" i="19"/>
  <c r="X84" i="19"/>
  <c r="X82" i="19"/>
  <c r="X90" i="19"/>
  <c r="X83" i="19"/>
  <c r="X88" i="19"/>
  <c r="X81" i="19"/>
  <c r="X89" i="19"/>
  <c r="X86" i="19"/>
  <c r="X71" i="19"/>
  <c r="X76" i="19"/>
  <c r="X67" i="19"/>
  <c r="X74" i="19"/>
  <c r="X68" i="19"/>
  <c r="X75" i="19"/>
  <c r="X60" i="19"/>
  <c r="X56" i="19"/>
  <c r="X61" i="19"/>
  <c r="X54" i="19"/>
  <c r="X58" i="19"/>
  <c r="X41" i="19"/>
  <c r="X39" i="19"/>
  <c r="X47" i="19"/>
  <c r="X42" i="19"/>
  <c r="X45" i="19"/>
  <c r="X33" i="19"/>
  <c r="X30" i="19"/>
  <c r="X35" i="19"/>
  <c r="X28" i="19"/>
  <c r="X32" i="19"/>
  <c r="C12" i="19"/>
  <c r="W23" i="19"/>
  <c r="A23" i="19"/>
  <c r="B23" i="19" s="1"/>
  <c r="C13" i="19"/>
  <c r="C11" i="19"/>
  <c r="C28" i="19"/>
  <c r="E28" i="19" s="1"/>
  <c r="C10" i="19"/>
  <c r="E10" i="19" s="1"/>
  <c r="C9" i="19"/>
  <c r="E9" i="19" s="1"/>
  <c r="C8" i="19"/>
  <c r="C7" i="19"/>
  <c r="E7" i="19" s="1"/>
  <c r="C14" i="19"/>
  <c r="E14" i="19" s="1"/>
  <c r="E16" i="19"/>
  <c r="B41" i="19"/>
  <c r="E41" i="19"/>
  <c r="E17" i="19"/>
  <c r="E42" i="19"/>
  <c r="B42" i="19"/>
  <c r="E24" i="19"/>
  <c r="B24" i="19"/>
  <c r="B32" i="19"/>
  <c r="E32" i="19"/>
  <c r="B33" i="19"/>
  <c r="E15" i="19"/>
  <c r="B40" i="19"/>
  <c r="E45" i="19"/>
  <c r="Z6" i="19" s="1"/>
  <c r="B45" i="19"/>
  <c r="B10" i="19"/>
  <c r="B9" i="19"/>
  <c r="U11" i="19"/>
  <c r="U18" i="19" s="1"/>
  <c r="B13" i="19"/>
  <c r="A22" i="19"/>
  <c r="C22" i="19" s="1"/>
  <c r="A34" i="19"/>
  <c r="C34" i="19" s="1"/>
  <c r="A38" i="19"/>
  <c r="C38" i="19" s="1"/>
  <c r="A43" i="19"/>
  <c r="C43" i="19" s="1"/>
  <c r="E60" i="19"/>
  <c r="AH14" i="19" s="1"/>
  <c r="B61" i="19"/>
  <c r="D61" i="19" s="1"/>
  <c r="B74" i="19"/>
  <c r="A75" i="19"/>
  <c r="C75" i="19" s="1"/>
  <c r="A26" i="19"/>
  <c r="C26" i="19" s="1"/>
  <c r="A27" i="19"/>
  <c r="C27" i="19" s="1"/>
  <c r="A35" i="19"/>
  <c r="C35" i="19" s="1"/>
  <c r="A44" i="19"/>
  <c r="C44" i="19" s="1"/>
  <c r="B62" i="19"/>
  <c r="B66" i="19"/>
  <c r="A68" i="19"/>
  <c r="C68" i="19" s="1"/>
  <c r="A76" i="19"/>
  <c r="C76" i="19" s="1"/>
  <c r="B8" i="19"/>
  <c r="U10" i="19"/>
  <c r="U17" i="19" s="1"/>
  <c r="B12" i="19"/>
  <c r="A21" i="19"/>
  <c r="C21" i="19" s="1"/>
  <c r="A36" i="19"/>
  <c r="C36" i="19" s="1"/>
  <c r="A19" i="19"/>
  <c r="C19" i="19" s="1"/>
  <c r="A29" i="19"/>
  <c r="C29" i="19" s="1"/>
  <c r="A37" i="19"/>
  <c r="C37" i="19" s="1"/>
  <c r="A46" i="19"/>
  <c r="C46" i="19" s="1"/>
  <c r="A70" i="19"/>
  <c r="C70" i="19" s="1"/>
  <c r="B7" i="19"/>
  <c r="U9" i="19"/>
  <c r="U16" i="19" s="1"/>
  <c r="B11" i="19"/>
  <c r="A25" i="19"/>
  <c r="C25" i="19" s="1"/>
  <c r="A30" i="19"/>
  <c r="C30" i="19" s="1"/>
  <c r="A47" i="19"/>
  <c r="C47" i="19" s="1"/>
  <c r="A71" i="19"/>
  <c r="C71" i="19" s="1"/>
  <c r="A18" i="19"/>
  <c r="C18" i="19" s="1"/>
  <c r="A31" i="19"/>
  <c r="C31" i="19" s="1"/>
  <c r="A48" i="19"/>
  <c r="C48" i="19" s="1"/>
  <c r="B15" i="19"/>
  <c r="B16" i="19"/>
  <c r="B17" i="19"/>
  <c r="A20" i="19"/>
  <c r="C20" i="19" s="1"/>
  <c r="B39" i="19"/>
  <c r="E39" i="19" s="1"/>
  <c r="A49" i="19"/>
  <c r="C49" i="19" s="1"/>
  <c r="B59" i="19"/>
  <c r="K12" i="18" l="1"/>
  <c r="Z11" i="19"/>
  <c r="I12" i="18"/>
  <c r="D74" i="19"/>
  <c r="E74" i="19" s="1"/>
  <c r="D66" i="19"/>
  <c r="E66" i="19" s="1"/>
  <c r="Z13" i="19" s="1"/>
  <c r="U6" i="19"/>
  <c r="U13" i="19" s="1"/>
  <c r="U23" i="19" s="1"/>
  <c r="Z14" i="19"/>
  <c r="D62" i="19"/>
  <c r="E62" i="19" s="1"/>
  <c r="AL14" i="19" s="1"/>
  <c r="D59" i="19"/>
  <c r="E59" i="19" s="1"/>
  <c r="AF14" i="19" s="1"/>
  <c r="E58" i="19"/>
  <c r="AD14" i="19" s="1"/>
  <c r="B67" i="19"/>
  <c r="D67" i="19" s="1"/>
  <c r="B69" i="19"/>
  <c r="D69" i="19" s="1"/>
  <c r="E69" i="19" s="1"/>
  <c r="AD13" i="19" s="1"/>
  <c r="B72" i="19"/>
  <c r="D72" i="19" s="1"/>
  <c r="E72" i="19" s="1"/>
  <c r="AJ13" i="19" s="1"/>
  <c r="B73" i="19"/>
  <c r="D73" i="19" s="1"/>
  <c r="E73" i="19" s="1"/>
  <c r="AL13" i="19" s="1"/>
  <c r="E56" i="19"/>
  <c r="U7" i="19"/>
  <c r="U14" i="19" s="1"/>
  <c r="L18" i="18"/>
  <c r="K19" i="18"/>
  <c r="K13" i="18"/>
  <c r="AD8" i="19"/>
  <c r="E11" i="19"/>
  <c r="E61" i="19"/>
  <c r="AJ14" i="19" s="1"/>
  <c r="E12" i="19"/>
  <c r="E8" i="19"/>
  <c r="C23" i="19"/>
  <c r="E23" i="19" s="1"/>
  <c r="AH10" i="19" s="1"/>
  <c r="B49" i="19"/>
  <c r="E49" i="19"/>
  <c r="AF4" i="19" s="1"/>
  <c r="B70" i="19"/>
  <c r="D70" i="19" s="1"/>
  <c r="B35" i="19"/>
  <c r="V9" i="19"/>
  <c r="V16" i="19" s="1"/>
  <c r="V10" i="19"/>
  <c r="V17" i="19" s="1"/>
  <c r="V11" i="19"/>
  <c r="V18" i="19" s="1"/>
  <c r="V8" i="19"/>
  <c r="V15" i="19" s="1"/>
  <c r="B71" i="19"/>
  <c r="D71" i="19" s="1"/>
  <c r="B46" i="19"/>
  <c r="B47" i="19"/>
  <c r="B76" i="19"/>
  <c r="D76" i="19" s="1"/>
  <c r="E40" i="19"/>
  <c r="E27" i="19"/>
  <c r="AL9" i="19" s="1"/>
  <c r="B27" i="19"/>
  <c r="V7" i="19"/>
  <c r="V14" i="19" s="1"/>
  <c r="V6" i="19"/>
  <c r="V13" i="19" s="1"/>
  <c r="B20" i="19"/>
  <c r="E20" i="19"/>
  <c r="B37" i="19"/>
  <c r="B26" i="19"/>
  <c r="B30" i="19"/>
  <c r="B29" i="19"/>
  <c r="B68" i="19"/>
  <c r="D68" i="19" s="1"/>
  <c r="E13" i="19"/>
  <c r="E33" i="19"/>
  <c r="B22" i="19"/>
  <c r="B25" i="19"/>
  <c r="B19" i="19"/>
  <c r="B43" i="19"/>
  <c r="AJ10" i="19"/>
  <c r="AF9" i="19"/>
  <c r="AL11" i="19"/>
  <c r="E36" i="19"/>
  <c r="B36" i="19"/>
  <c r="E38" i="19"/>
  <c r="AL7" i="19" s="1"/>
  <c r="B38" i="19"/>
  <c r="E67" i="19"/>
  <c r="B18" i="19"/>
  <c r="E48" i="19"/>
  <c r="B48" i="19"/>
  <c r="E21" i="19"/>
  <c r="B21" i="19"/>
  <c r="B75" i="19"/>
  <c r="D75" i="19" s="1"/>
  <c r="B34" i="19"/>
  <c r="E31" i="19"/>
  <c r="B31" i="19"/>
  <c r="E44" i="19"/>
  <c r="B44" i="19"/>
  <c r="AJ11" i="19" l="1"/>
  <c r="M18" i="18"/>
  <c r="L19" i="18"/>
  <c r="L13" i="18"/>
  <c r="AD9" i="19"/>
  <c r="AL8" i="19"/>
  <c r="AH7" i="19"/>
  <c r="AB10" i="19"/>
  <c r="AD11" i="19"/>
  <c r="E18" i="19"/>
  <c r="E22" i="19"/>
  <c r="E30" i="19"/>
  <c r="E47" i="19"/>
  <c r="AF5" i="19"/>
  <c r="AD5" i="19"/>
  <c r="AL4" i="19"/>
  <c r="AJ4" i="19"/>
  <c r="AH4" i="19"/>
  <c r="AD4" i="19"/>
  <c r="Z4" i="19"/>
  <c r="AB4" i="19"/>
  <c r="E34" i="19"/>
  <c r="E75" i="19"/>
  <c r="AF8" i="19"/>
  <c r="AB7" i="19"/>
  <c r="Z7" i="19"/>
  <c r="V23" i="19"/>
  <c r="E43" i="19"/>
  <c r="E26" i="19"/>
  <c r="AJ9" i="19" s="1"/>
  <c r="E46" i="19"/>
  <c r="E35" i="19"/>
  <c r="AD10" i="19"/>
  <c r="AF11" i="19"/>
  <c r="Z9" i="19"/>
  <c r="E19" i="19"/>
  <c r="AB11" i="19" s="1"/>
  <c r="E68" i="19"/>
  <c r="AB13" i="19" s="1"/>
  <c r="E37" i="19"/>
  <c r="AJ7" i="19" s="1"/>
  <c r="E71" i="19"/>
  <c r="AH13" i="19" s="1"/>
  <c r="E70" i="19"/>
  <c r="AF13" i="19" s="1"/>
  <c r="AB8" i="19"/>
  <c r="Z8" i="19"/>
  <c r="E25" i="19"/>
  <c r="E29" i="19"/>
  <c r="E76" i="19"/>
  <c r="M19" i="18" l="1"/>
  <c r="N18" i="18"/>
  <c r="N19" i="18" s="1"/>
  <c r="M13" i="18"/>
  <c r="AJ8" i="19"/>
  <c r="AJ15" i="19" s="1"/>
  <c r="AF7" i="19"/>
  <c r="AF15" i="19" s="1"/>
  <c r="K6" i="18" s="1"/>
  <c r="Z10" i="19"/>
  <c r="AB6" i="19"/>
  <c r="Z5" i="19"/>
  <c r="AB9" i="19"/>
  <c r="AH11" i="19"/>
  <c r="AF10" i="19"/>
  <c r="AH8" i="19"/>
  <c r="AH15" i="19" s="1"/>
  <c r="AD7" i="19"/>
  <c r="AB5" i="19"/>
  <c r="AD6" i="19"/>
  <c r="AD15" i="19" s="1"/>
  <c r="AL10" i="19"/>
  <c r="AL15" i="19" s="1"/>
  <c r="AH9" i="19"/>
  <c r="AB15" i="19" l="1"/>
  <c r="Z15" i="19"/>
  <c r="E19" i="16"/>
  <c r="E17" i="16"/>
  <c r="E18" i="16"/>
  <c r="L6" i="18"/>
  <c r="L7" i="18" s="1"/>
  <c r="L14" i="18" s="1"/>
  <c r="L6" i="9"/>
  <c r="M6" i="9"/>
  <c r="M6" i="18"/>
  <c r="N6" i="18"/>
  <c r="N6" i="9"/>
  <c r="J6" i="18"/>
  <c r="J6" i="9"/>
  <c r="I6" i="18"/>
  <c r="I6" i="9"/>
  <c r="K6" i="9"/>
  <c r="K7" i="18"/>
  <c r="K14" i="18" s="1"/>
  <c r="N13" i="18"/>
  <c r="G18" i="16" l="1"/>
  <c r="G17" i="16"/>
  <c r="G19" i="16"/>
  <c r="H17" i="16"/>
  <c r="H18" i="16"/>
  <c r="H19" i="16"/>
  <c r="I7" i="18"/>
  <c r="I14" i="18" s="1"/>
  <c r="C19" i="16"/>
  <c r="C17" i="16"/>
  <c r="C18" i="16"/>
  <c r="D19" i="16"/>
  <c r="D17" i="16"/>
  <c r="D18" i="16"/>
  <c r="F18" i="16"/>
  <c r="F17" i="16"/>
  <c r="F19" i="16"/>
  <c r="G14" i="16"/>
  <c r="G12" i="16"/>
  <c r="G13" i="16"/>
  <c r="C12" i="16"/>
  <c r="C13" i="16"/>
  <c r="C14" i="16"/>
  <c r="D12" i="16"/>
  <c r="D13" i="16"/>
  <c r="D14" i="16"/>
  <c r="H12" i="16"/>
  <c r="H13" i="16"/>
  <c r="H14" i="16"/>
  <c r="E13" i="16"/>
  <c r="E14" i="16"/>
  <c r="E12" i="16"/>
  <c r="F12" i="16"/>
  <c r="F13" i="16"/>
  <c r="F14" i="16"/>
  <c r="N7" i="18"/>
  <c r="N14" i="18" s="1"/>
  <c r="M7" i="18"/>
  <c r="M14" i="18" s="1"/>
  <c r="J7" i="18"/>
  <c r="J14" i="18" s="1"/>
  <c r="W22" i="1"/>
  <c r="W21" i="1"/>
  <c r="W18" i="1"/>
  <c r="W17" i="1"/>
  <c r="W16" i="1"/>
  <c r="W15" i="1"/>
  <c r="W14" i="1"/>
  <c r="W13" i="1"/>
  <c r="S12" i="1"/>
  <c r="S23" i="1" s="1"/>
  <c r="V104" i="1"/>
  <c r="W103" i="1"/>
  <c r="V102" i="1"/>
  <c r="V100" i="1"/>
  <c r="V96" i="1"/>
  <c r="W95" i="1"/>
  <c r="V94" i="1"/>
  <c r="A66" i="1"/>
  <c r="A65" i="1"/>
  <c r="C65" i="1" s="1"/>
  <c r="A64" i="1"/>
  <c r="A63" i="1"/>
  <c r="C63" i="1" s="1"/>
  <c r="A62" i="1"/>
  <c r="A61" i="1"/>
  <c r="A60" i="1"/>
  <c r="C60" i="1" s="1"/>
  <c r="A59" i="1"/>
  <c r="C59" i="1" s="1"/>
  <c r="A58" i="1"/>
  <c r="C58" i="1" s="1"/>
  <c r="A57" i="1"/>
  <c r="C57" i="1" s="1"/>
  <c r="A56" i="1"/>
  <c r="B55" i="1"/>
  <c r="D55" i="1" s="1"/>
  <c r="U102" i="1"/>
  <c r="W101" i="1"/>
  <c r="V101" i="1"/>
  <c r="U101" i="1"/>
  <c r="U100" i="1"/>
  <c r="W99" i="1"/>
  <c r="V99" i="1"/>
  <c r="U99" i="1"/>
  <c r="W98" i="1"/>
  <c r="V98" i="1"/>
  <c r="U98" i="1"/>
  <c r="W97" i="1"/>
  <c r="V97" i="1"/>
  <c r="U97" i="1"/>
  <c r="W96" i="1"/>
  <c r="U96" i="1"/>
  <c r="W90" i="1"/>
  <c r="V90" i="1"/>
  <c r="U90" i="1"/>
  <c r="W89" i="1"/>
  <c r="V89" i="1"/>
  <c r="U89" i="1"/>
  <c r="W88" i="1"/>
  <c r="V88" i="1"/>
  <c r="U88" i="1"/>
  <c r="W87" i="1"/>
  <c r="V87" i="1"/>
  <c r="U87" i="1"/>
  <c r="W86" i="1"/>
  <c r="V86" i="1"/>
  <c r="U86" i="1"/>
  <c r="W85" i="1"/>
  <c r="V85" i="1"/>
  <c r="U85" i="1"/>
  <c r="W84" i="1"/>
  <c r="V84" i="1"/>
  <c r="U84" i="1"/>
  <c r="W83" i="1"/>
  <c r="V83" i="1"/>
  <c r="U83" i="1"/>
  <c r="W82" i="1"/>
  <c r="V82" i="1"/>
  <c r="U82" i="1"/>
  <c r="W81" i="1"/>
  <c r="V81" i="1"/>
  <c r="U81" i="1"/>
  <c r="W80" i="1"/>
  <c r="V80" i="1"/>
  <c r="X80" i="1" s="1"/>
  <c r="B62" i="1" l="1"/>
  <c r="D62" i="1" s="1"/>
  <c r="C62" i="1"/>
  <c r="A67" i="1"/>
  <c r="C67" i="1" s="1"/>
  <c r="C56" i="1"/>
  <c r="A75" i="1"/>
  <c r="C75" i="1" s="1"/>
  <c r="C64" i="1"/>
  <c r="B66" i="1"/>
  <c r="D66" i="1" s="1"/>
  <c r="C66" i="1"/>
  <c r="A72" i="1"/>
  <c r="C72" i="1" s="1"/>
  <c r="C61" i="1"/>
  <c r="W23" i="1"/>
  <c r="X88" i="1"/>
  <c r="X81" i="1"/>
  <c r="X89" i="1"/>
  <c r="X87" i="1"/>
  <c r="X83" i="1"/>
  <c r="X90" i="1"/>
  <c r="B59" i="1"/>
  <c r="D59" i="1" s="1"/>
  <c r="E59" i="1" s="1"/>
  <c r="A69" i="1"/>
  <c r="A70" i="1"/>
  <c r="C70" i="1" s="1"/>
  <c r="A74" i="1"/>
  <c r="A71" i="1"/>
  <c r="A73" i="1"/>
  <c r="C73" i="1" s="1"/>
  <c r="A68" i="1"/>
  <c r="C68" i="1" s="1"/>
  <c r="A76" i="1"/>
  <c r="C76" i="1" s="1"/>
  <c r="X97" i="1"/>
  <c r="W94" i="1"/>
  <c r="X94" i="1" s="1"/>
  <c r="W102" i="1"/>
  <c r="X102" i="1" s="1"/>
  <c r="V95" i="1"/>
  <c r="X98" i="1"/>
  <c r="W100" i="1"/>
  <c r="X100" i="1" s="1"/>
  <c r="V103" i="1"/>
  <c r="U95" i="1"/>
  <c r="U103" i="1"/>
  <c r="X101" i="1"/>
  <c r="W104" i="1"/>
  <c r="X96" i="1"/>
  <c r="U104" i="1"/>
  <c r="X104" i="1" s="1"/>
  <c r="X99" i="1"/>
  <c r="B56" i="1"/>
  <c r="D56" i="1" s="1"/>
  <c r="B64" i="1"/>
  <c r="E62" i="1"/>
  <c r="B67" i="1"/>
  <c r="D67" i="1" s="1"/>
  <c r="E55" i="1"/>
  <c r="Z14" i="1" s="1"/>
  <c r="B72" i="1"/>
  <c r="D72" i="1" s="1"/>
  <c r="B58" i="1"/>
  <c r="D58" i="1" s="1"/>
  <c r="E58" i="1" s="1"/>
  <c r="B63" i="1"/>
  <c r="E66" i="1"/>
  <c r="B60" i="1"/>
  <c r="B61" i="1"/>
  <c r="D61" i="1" s="1"/>
  <c r="B57" i="1"/>
  <c r="B65" i="1"/>
  <c r="X84" i="1"/>
  <c r="X82" i="1"/>
  <c r="X86" i="1"/>
  <c r="X85" i="1"/>
  <c r="AB20" i="1"/>
  <c r="AB19" i="1"/>
  <c r="AL14" i="1" l="1"/>
  <c r="AD14" i="1"/>
  <c r="B71" i="1"/>
  <c r="D71" i="1" s="1"/>
  <c r="C71" i="1"/>
  <c r="B74" i="1"/>
  <c r="D74" i="1" s="1"/>
  <c r="C74" i="1"/>
  <c r="B69" i="1"/>
  <c r="C69" i="1"/>
  <c r="AF14" i="1"/>
  <c r="B75" i="1"/>
  <c r="D75" i="1" s="1"/>
  <c r="E75" i="1" s="1"/>
  <c r="AD20" i="1"/>
  <c r="AD19" i="1"/>
  <c r="AB21" i="1"/>
  <c r="B76" i="1"/>
  <c r="D76" i="1" s="1"/>
  <c r="E76" i="1" s="1"/>
  <c r="Z13" i="1"/>
  <c r="U6" i="1"/>
  <c r="U13" i="1" s="1"/>
  <c r="U7" i="1"/>
  <c r="U14" i="1" s="1"/>
  <c r="E61" i="1"/>
  <c r="AJ14" i="1" s="1"/>
  <c r="E72" i="1"/>
  <c r="AJ13" i="1" s="1"/>
  <c r="B70" i="1"/>
  <c r="D70" i="1" s="1"/>
  <c r="E70" i="1" s="1"/>
  <c r="AF13" i="1" s="1"/>
  <c r="E71" i="1"/>
  <c r="AH13" i="1" s="1"/>
  <c r="B68" i="1"/>
  <c r="D68" i="1" s="1"/>
  <c r="E68" i="1" s="1"/>
  <c r="AB13" i="1" s="1"/>
  <c r="E74" i="1"/>
  <c r="E56" i="1"/>
  <c r="D64" i="1"/>
  <c r="E64" i="1" s="1"/>
  <c r="D63" i="1"/>
  <c r="E63" i="1" s="1"/>
  <c r="D65" i="1"/>
  <c r="E65" i="1" s="1"/>
  <c r="D60" i="1"/>
  <c r="E60" i="1" s="1"/>
  <c r="AH14" i="1" s="1"/>
  <c r="D57" i="1"/>
  <c r="E57" i="1" s="1"/>
  <c r="AB14" i="1" s="1"/>
  <c r="D69" i="1"/>
  <c r="X103" i="1"/>
  <c r="X95" i="1"/>
  <c r="E67" i="1"/>
  <c r="B73" i="1"/>
  <c r="D73" i="1" s="1"/>
  <c r="AF20" i="1" l="1"/>
  <c r="AF19" i="1"/>
  <c r="AD21" i="1"/>
  <c r="V6" i="1"/>
  <c r="V13" i="1" s="1"/>
  <c r="V7" i="1"/>
  <c r="V14" i="1" s="1"/>
  <c r="E69" i="1"/>
  <c r="AD13" i="1" s="1"/>
  <c r="E73" i="1"/>
  <c r="AL13" i="1" s="1"/>
  <c r="B6" i="1"/>
  <c r="D6" i="1" s="1"/>
  <c r="C6" i="1"/>
  <c r="A7" i="1"/>
  <c r="B7" i="1" s="1"/>
  <c r="D7" i="1" s="1"/>
  <c r="A8" i="1"/>
  <c r="B8" i="1" s="1"/>
  <c r="D8" i="1" s="1"/>
  <c r="A9" i="1"/>
  <c r="B9" i="1" s="1"/>
  <c r="D9" i="1" s="1"/>
  <c r="C9" i="1"/>
  <c r="A10" i="1"/>
  <c r="B10" i="1" s="1"/>
  <c r="D10" i="1" s="1"/>
  <c r="A11" i="1"/>
  <c r="B11" i="1" s="1"/>
  <c r="D11" i="1" s="1"/>
  <c r="A12" i="1"/>
  <c r="C12" i="1" s="1"/>
  <c r="A13" i="1"/>
  <c r="B13" i="1" s="1"/>
  <c r="D13" i="1" s="1"/>
  <c r="A14" i="1"/>
  <c r="B14" i="1" s="1"/>
  <c r="D14" i="1" s="1"/>
  <c r="B12" i="1" l="1"/>
  <c r="D12" i="1" s="1"/>
  <c r="E6" i="1"/>
  <c r="U10" i="1" s="1"/>
  <c r="U17" i="1" s="1"/>
  <c r="AH20" i="1"/>
  <c r="AH19" i="1"/>
  <c r="AF21" i="1"/>
  <c r="U8" i="1"/>
  <c r="U15" i="1" s="1"/>
  <c r="U9" i="1"/>
  <c r="U16" i="1" s="1"/>
  <c r="U11" i="1"/>
  <c r="U18" i="1" s="1"/>
  <c r="C8" i="1"/>
  <c r="E8" i="1" s="1"/>
  <c r="C14" i="1"/>
  <c r="E14" i="1" s="1"/>
  <c r="C10" i="1"/>
  <c r="E10" i="1" s="1"/>
  <c r="E12" i="1"/>
  <c r="E9" i="1"/>
  <c r="C11" i="1"/>
  <c r="E11" i="1" s="1"/>
  <c r="C7" i="1"/>
  <c r="E7" i="1" s="1"/>
  <c r="C13" i="1"/>
  <c r="E13" i="1" s="1"/>
  <c r="AJ20" i="1" l="1"/>
  <c r="AJ19" i="1"/>
  <c r="AH21" i="1"/>
  <c r="U23" i="1"/>
  <c r="AL20" i="1" l="1"/>
  <c r="AL19" i="1"/>
  <c r="AJ21" i="1"/>
  <c r="I87" i="18"/>
  <c r="J87" i="18" s="1"/>
  <c r="K87" i="18" s="1"/>
  <c r="L87" i="18" s="1"/>
  <c r="M87" i="18" s="1"/>
  <c r="N87" i="18" s="1"/>
  <c r="I86" i="18"/>
  <c r="J86" i="18" s="1"/>
  <c r="K86" i="18" s="1"/>
  <c r="L86" i="18" s="1"/>
  <c r="M86" i="18" s="1"/>
  <c r="N86" i="18" s="1"/>
  <c r="I85" i="18"/>
  <c r="J85" i="18" s="1"/>
  <c r="K85" i="18" s="1"/>
  <c r="L85" i="18" s="1"/>
  <c r="M85" i="18" s="1"/>
  <c r="N85" i="18" s="1"/>
  <c r="I84" i="18"/>
  <c r="I82" i="18"/>
  <c r="J82" i="18" s="1"/>
  <c r="K82" i="18" s="1"/>
  <c r="L82" i="18" s="1"/>
  <c r="M82" i="18" s="1"/>
  <c r="N82" i="18" s="1"/>
  <c r="I81" i="18"/>
  <c r="J81" i="18" s="1"/>
  <c r="K81" i="18" s="1"/>
  <c r="L81" i="18" s="1"/>
  <c r="M81" i="18" s="1"/>
  <c r="N81" i="18" s="1"/>
  <c r="I80" i="18"/>
  <c r="J80" i="18" s="1"/>
  <c r="K80" i="18" s="1"/>
  <c r="L80" i="18" s="1"/>
  <c r="M80" i="18" s="1"/>
  <c r="N80" i="18" s="1"/>
  <c r="I78" i="18"/>
  <c r="J78" i="18" s="1"/>
  <c r="K78" i="18" s="1"/>
  <c r="L78" i="18" s="1"/>
  <c r="M78" i="18" s="1"/>
  <c r="N78" i="18" s="1"/>
  <c r="I77" i="18"/>
  <c r="J77" i="18" s="1"/>
  <c r="K77" i="18" s="1"/>
  <c r="L77" i="18" s="1"/>
  <c r="M77" i="18" s="1"/>
  <c r="N77" i="18" s="1"/>
  <c r="I76" i="18"/>
  <c r="J76" i="18" s="1"/>
  <c r="K76" i="18" s="1"/>
  <c r="L76" i="18" s="1"/>
  <c r="M76" i="18" s="1"/>
  <c r="N76" i="18" s="1"/>
  <c r="I75" i="18"/>
  <c r="J75" i="18" s="1"/>
  <c r="K75" i="18" s="1"/>
  <c r="L75" i="18" s="1"/>
  <c r="M75" i="18" s="1"/>
  <c r="N75" i="18" s="1"/>
  <c r="I73" i="18"/>
  <c r="J73" i="18" s="1"/>
  <c r="K73" i="18" s="1"/>
  <c r="L73" i="18" s="1"/>
  <c r="M73" i="18" s="1"/>
  <c r="N73" i="18" s="1"/>
  <c r="I72" i="18"/>
  <c r="J72" i="18" s="1"/>
  <c r="K72" i="18" s="1"/>
  <c r="L72" i="18" s="1"/>
  <c r="M72" i="18" s="1"/>
  <c r="N72" i="18" s="1"/>
  <c r="I71" i="18"/>
  <c r="I69" i="18"/>
  <c r="J69" i="18" s="1"/>
  <c r="K69" i="18" s="1"/>
  <c r="L69" i="18" s="1"/>
  <c r="M69" i="18" s="1"/>
  <c r="N69" i="18" s="1"/>
  <c r="I67" i="18"/>
  <c r="J67" i="18" s="1"/>
  <c r="K67" i="18" s="1"/>
  <c r="L67" i="18" s="1"/>
  <c r="M67" i="18" s="1"/>
  <c r="N67" i="18" s="1"/>
  <c r="I66" i="18"/>
  <c r="J66" i="18" s="1"/>
  <c r="K66" i="18" s="1"/>
  <c r="L66" i="18" s="1"/>
  <c r="M66" i="18" s="1"/>
  <c r="N66" i="18" s="1"/>
  <c r="I64" i="18"/>
  <c r="J64" i="18" s="1"/>
  <c r="K64" i="18" s="1"/>
  <c r="L64" i="18" s="1"/>
  <c r="M64" i="18" s="1"/>
  <c r="N64" i="18" s="1"/>
  <c r="I63" i="18"/>
  <c r="J63" i="18" s="1"/>
  <c r="K63" i="18" s="1"/>
  <c r="L63" i="18" s="1"/>
  <c r="M63" i="18" s="1"/>
  <c r="N63" i="18" s="1"/>
  <c r="I62" i="18"/>
  <c r="J62" i="18" s="1"/>
  <c r="I59" i="18"/>
  <c r="I58" i="18"/>
  <c r="J58" i="18" s="1"/>
  <c r="I56" i="18"/>
  <c r="J56" i="18" s="1"/>
  <c r="K56" i="18" s="1"/>
  <c r="L56" i="18" s="1"/>
  <c r="M56" i="18" s="1"/>
  <c r="N56" i="18" s="1"/>
  <c r="I55" i="18"/>
  <c r="J55" i="18" s="1"/>
  <c r="K55" i="18" s="1"/>
  <c r="L55" i="18" s="1"/>
  <c r="M55" i="18" s="1"/>
  <c r="N55" i="18" s="1"/>
  <c r="J54" i="18"/>
  <c r="K54" i="18" s="1"/>
  <c r="L54" i="18" s="1"/>
  <c r="M54" i="18" s="1"/>
  <c r="N54" i="18" s="1"/>
  <c r="I53" i="18"/>
  <c r="J53" i="18" s="1"/>
  <c r="K53" i="18" s="1"/>
  <c r="L53" i="18" s="1"/>
  <c r="M53" i="18" s="1"/>
  <c r="N53" i="18" s="1"/>
  <c r="I51" i="18"/>
  <c r="J51" i="18" s="1"/>
  <c r="K51" i="18" s="1"/>
  <c r="L51" i="18" s="1"/>
  <c r="M51" i="18" s="1"/>
  <c r="N51" i="18" s="1"/>
  <c r="I50" i="18"/>
  <c r="J50" i="18" s="1"/>
  <c r="I49" i="18"/>
  <c r="J49" i="18" s="1"/>
  <c r="K49" i="18" s="1"/>
  <c r="L49" i="18" s="1"/>
  <c r="M49" i="18" s="1"/>
  <c r="N49" i="18" s="1"/>
  <c r="I48" i="18"/>
  <c r="J48" i="18" s="1"/>
  <c r="K48" i="18" s="1"/>
  <c r="I45" i="18"/>
  <c r="J45" i="18" s="1"/>
  <c r="K45" i="18" s="1"/>
  <c r="L45" i="18" s="1"/>
  <c r="M45" i="18" s="1"/>
  <c r="N45" i="18" s="1"/>
  <c r="I44" i="18"/>
  <c r="I43" i="18"/>
  <c r="J43" i="18" s="1"/>
  <c r="K43" i="18" s="1"/>
  <c r="L43" i="18" s="1"/>
  <c r="M43" i="18" s="1"/>
  <c r="N43" i="18" s="1"/>
  <c r="I42" i="18"/>
  <c r="J42" i="18" s="1"/>
  <c r="K42" i="18" s="1"/>
  <c r="L42" i="18" s="1"/>
  <c r="M42" i="18" s="1"/>
  <c r="N42" i="18" s="1"/>
  <c r="I41" i="18"/>
  <c r="J41" i="18" s="1"/>
  <c r="K41" i="18" s="1"/>
  <c r="I38" i="18"/>
  <c r="J38" i="18" s="1"/>
  <c r="K38" i="18" s="1"/>
  <c r="L38" i="18" s="1"/>
  <c r="M38" i="18" s="1"/>
  <c r="N38" i="18" s="1"/>
  <c r="I37" i="18"/>
  <c r="J37" i="18" s="1"/>
  <c r="K37" i="18" s="1"/>
  <c r="L37" i="18" s="1"/>
  <c r="M37" i="18" s="1"/>
  <c r="N37" i="18" s="1"/>
  <c r="I36" i="18"/>
  <c r="J36" i="18" s="1"/>
  <c r="K36" i="18" s="1"/>
  <c r="L36" i="18" s="1"/>
  <c r="M36" i="18" s="1"/>
  <c r="N36" i="18" s="1"/>
  <c r="I35" i="18"/>
  <c r="I34" i="18"/>
  <c r="J34" i="18" s="1"/>
  <c r="K34" i="18" s="1"/>
  <c r="I32" i="18"/>
  <c r="J32" i="18" s="1"/>
  <c r="K32" i="18" s="1"/>
  <c r="L32" i="18" s="1"/>
  <c r="M32" i="18" s="1"/>
  <c r="N32" i="18" s="1"/>
  <c r="I31" i="18"/>
  <c r="J31" i="18" s="1"/>
  <c r="K31" i="18" s="1"/>
  <c r="L31" i="18" s="1"/>
  <c r="M31" i="18" s="1"/>
  <c r="N31" i="18" s="1"/>
  <c r="I30" i="18"/>
  <c r="J30" i="18" s="1"/>
  <c r="K30" i="18" s="1"/>
  <c r="L30" i="18" s="1"/>
  <c r="M30" i="18" s="1"/>
  <c r="N30" i="18" s="1"/>
  <c r="I29" i="18"/>
  <c r="J29" i="18" s="1"/>
  <c r="K29" i="18" s="1"/>
  <c r="L29" i="18" s="1"/>
  <c r="M29" i="18" s="1"/>
  <c r="N29" i="18" s="1"/>
  <c r="I28" i="18"/>
  <c r="J28" i="18" s="1"/>
  <c r="K28" i="18" s="1"/>
  <c r="L28" i="18" s="1"/>
  <c r="M28" i="18" s="1"/>
  <c r="N28" i="18" s="1"/>
  <c r="I25" i="18"/>
  <c r="J25" i="18" s="1"/>
  <c r="K25" i="18" s="1"/>
  <c r="L25" i="18" s="1"/>
  <c r="M25" i="18" s="1"/>
  <c r="N25" i="18" s="1"/>
  <c r="I24" i="18"/>
  <c r="I23" i="18"/>
  <c r="J23" i="18" s="1"/>
  <c r="N21" i="18"/>
  <c r="M21" i="18"/>
  <c r="L21" i="18"/>
  <c r="K21" i="18"/>
  <c r="J21" i="18"/>
  <c r="I21" i="18"/>
  <c r="I88" i="18" l="1"/>
  <c r="I39" i="18"/>
  <c r="I46" i="18"/>
  <c r="I26" i="18"/>
  <c r="I79" i="18"/>
  <c r="J35" i="18"/>
  <c r="K35" i="18" s="1"/>
  <c r="L35" i="18" s="1"/>
  <c r="M35" i="18" s="1"/>
  <c r="N35" i="18" s="1"/>
  <c r="J52" i="18"/>
  <c r="I52" i="18"/>
  <c r="I60" i="18"/>
  <c r="AL21" i="1"/>
  <c r="K23" i="18"/>
  <c r="K58" i="18"/>
  <c r="L34" i="18"/>
  <c r="K62" i="18"/>
  <c r="J68" i="18"/>
  <c r="J24" i="18"/>
  <c r="K24" i="18" s="1"/>
  <c r="L24" i="18" s="1"/>
  <c r="M24" i="18" s="1"/>
  <c r="N24" i="18" s="1"/>
  <c r="L41" i="18"/>
  <c r="J44" i="18"/>
  <c r="K44" i="18" s="1"/>
  <c r="L44" i="18" s="1"/>
  <c r="M44" i="18" s="1"/>
  <c r="N44" i="18" s="1"/>
  <c r="K50" i="18"/>
  <c r="L50" i="18" s="1"/>
  <c r="M50" i="18" s="1"/>
  <c r="N50" i="18" s="1"/>
  <c r="J59" i="18"/>
  <c r="K59" i="18" s="1"/>
  <c r="L59" i="18" s="1"/>
  <c r="M59" i="18" s="1"/>
  <c r="N59" i="18" s="1"/>
  <c r="J71" i="18"/>
  <c r="I68" i="18"/>
  <c r="J84" i="18"/>
  <c r="L48" i="18"/>
  <c r="K39" i="18" l="1"/>
  <c r="J39" i="18"/>
  <c r="J88" i="18"/>
  <c r="K84" i="18"/>
  <c r="L58" i="18"/>
  <c r="K60" i="18"/>
  <c r="L52" i="18"/>
  <c r="M48" i="18"/>
  <c r="J60" i="18"/>
  <c r="K26" i="18"/>
  <c r="L23" i="18"/>
  <c r="K68" i="18"/>
  <c r="L62" i="18"/>
  <c r="L46" i="18"/>
  <c r="M41" i="18"/>
  <c r="M34" i="18"/>
  <c r="L39" i="18"/>
  <c r="K52" i="18"/>
  <c r="J26" i="18"/>
  <c r="J79" i="18"/>
  <c r="K71" i="18"/>
  <c r="K46" i="18"/>
  <c r="J46" i="18"/>
  <c r="M58" i="18" l="1"/>
  <c r="L60" i="18"/>
  <c r="K88" i="18"/>
  <c r="L84" i="18"/>
  <c r="M23" i="18"/>
  <c r="L26" i="18"/>
  <c r="L68" i="18"/>
  <c r="M62" i="18"/>
  <c r="N34" i="18"/>
  <c r="N39" i="18" s="1"/>
  <c r="M39" i="18"/>
  <c r="M52" i="18"/>
  <c r="N48" i="18"/>
  <c r="N52" i="18" s="1"/>
  <c r="N41" i="18"/>
  <c r="N46" i="18" s="1"/>
  <c r="M46" i="18"/>
  <c r="K79" i="18"/>
  <c r="L71" i="18"/>
  <c r="M68" i="18" l="1"/>
  <c r="N62" i="18"/>
  <c r="N68" i="18" s="1"/>
  <c r="N58" i="18"/>
  <c r="N60" i="18" s="1"/>
  <c r="M60" i="18"/>
  <c r="L79" i="18"/>
  <c r="M71" i="18"/>
  <c r="N23" i="18"/>
  <c r="N26" i="18" s="1"/>
  <c r="M26" i="18"/>
  <c r="L88" i="18"/>
  <c r="M84" i="18"/>
  <c r="M79" i="18" l="1"/>
  <c r="N71" i="18"/>
  <c r="N79" i="18" s="1"/>
  <c r="N84" i="18"/>
  <c r="N88" i="18" s="1"/>
  <c r="M88" i="18"/>
  <c r="I24" i="8"/>
  <c r="I87" i="9" l="1"/>
  <c r="J87" i="9" s="1"/>
  <c r="K87" i="9" s="1"/>
  <c r="L87" i="9" s="1"/>
  <c r="M87" i="9" s="1"/>
  <c r="N87" i="9" s="1"/>
  <c r="I86" i="9"/>
  <c r="J86" i="9" s="1"/>
  <c r="K86" i="9" s="1"/>
  <c r="L86" i="9" s="1"/>
  <c r="M86" i="9" s="1"/>
  <c r="N86" i="9" s="1"/>
  <c r="I85" i="9"/>
  <c r="J85" i="9" s="1"/>
  <c r="K85" i="9" s="1"/>
  <c r="L85" i="9" s="1"/>
  <c r="M85" i="9" s="1"/>
  <c r="N85" i="9" s="1"/>
  <c r="I84" i="9"/>
  <c r="J84" i="9" s="1"/>
  <c r="I82" i="9"/>
  <c r="J82" i="9" s="1"/>
  <c r="K82" i="9" s="1"/>
  <c r="L82" i="9" s="1"/>
  <c r="M82" i="9" s="1"/>
  <c r="N82" i="9" s="1"/>
  <c r="I81" i="9"/>
  <c r="J81" i="9" s="1"/>
  <c r="K81" i="9" s="1"/>
  <c r="L81" i="9" s="1"/>
  <c r="M81" i="9" s="1"/>
  <c r="N81" i="9" s="1"/>
  <c r="I80" i="9"/>
  <c r="J80" i="9" s="1"/>
  <c r="K80" i="9" s="1"/>
  <c r="L80" i="9" s="1"/>
  <c r="M80" i="9" s="1"/>
  <c r="N80" i="9" s="1"/>
  <c r="I78" i="9"/>
  <c r="J78" i="9" s="1"/>
  <c r="K78" i="9" s="1"/>
  <c r="L78" i="9" s="1"/>
  <c r="M78" i="9" s="1"/>
  <c r="N78" i="9" s="1"/>
  <c r="I77" i="9"/>
  <c r="J77" i="9" s="1"/>
  <c r="K77" i="9" s="1"/>
  <c r="L77" i="9" s="1"/>
  <c r="M77" i="9" s="1"/>
  <c r="N77" i="9" s="1"/>
  <c r="I76" i="9"/>
  <c r="J76" i="9" s="1"/>
  <c r="K76" i="9" s="1"/>
  <c r="L76" i="9" s="1"/>
  <c r="M76" i="9" s="1"/>
  <c r="N76" i="9" s="1"/>
  <c r="I75" i="9"/>
  <c r="J75" i="9" s="1"/>
  <c r="K75" i="9" s="1"/>
  <c r="L75" i="9" s="1"/>
  <c r="M75" i="9" s="1"/>
  <c r="N75" i="9" s="1"/>
  <c r="I73" i="9"/>
  <c r="J73" i="9" s="1"/>
  <c r="K73" i="9" s="1"/>
  <c r="L73" i="9" s="1"/>
  <c r="M73" i="9" s="1"/>
  <c r="N73" i="9" s="1"/>
  <c r="I72" i="9"/>
  <c r="J72" i="9" s="1"/>
  <c r="K72" i="9" s="1"/>
  <c r="L72" i="9" s="1"/>
  <c r="M72" i="9" s="1"/>
  <c r="N72" i="9" s="1"/>
  <c r="I71" i="9"/>
  <c r="I69" i="9"/>
  <c r="J69" i="9" s="1"/>
  <c r="K69" i="9" s="1"/>
  <c r="L69" i="9" s="1"/>
  <c r="M69" i="9" s="1"/>
  <c r="N69" i="9" s="1"/>
  <c r="I67" i="9"/>
  <c r="J67" i="9" s="1"/>
  <c r="K67" i="9" s="1"/>
  <c r="L67" i="9" s="1"/>
  <c r="M67" i="9" s="1"/>
  <c r="N67" i="9" s="1"/>
  <c r="I66" i="9"/>
  <c r="J66" i="9" s="1"/>
  <c r="K66" i="9" s="1"/>
  <c r="L66" i="9" s="1"/>
  <c r="M66" i="9" s="1"/>
  <c r="N66" i="9" s="1"/>
  <c r="I64" i="9"/>
  <c r="J64" i="9" s="1"/>
  <c r="K64" i="9" s="1"/>
  <c r="L64" i="9" s="1"/>
  <c r="M64" i="9" s="1"/>
  <c r="N64" i="9" s="1"/>
  <c r="I63" i="9"/>
  <c r="J63" i="9" s="1"/>
  <c r="K63" i="9" s="1"/>
  <c r="L63" i="9" s="1"/>
  <c r="M63" i="9" s="1"/>
  <c r="N63" i="9" s="1"/>
  <c r="I62" i="9"/>
  <c r="J62" i="9" s="1"/>
  <c r="K62" i="9" s="1"/>
  <c r="I59" i="9"/>
  <c r="J59" i="9" s="1"/>
  <c r="I58" i="9"/>
  <c r="J58" i="9" s="1"/>
  <c r="K58" i="9" s="1"/>
  <c r="L58" i="9" s="1"/>
  <c r="I56" i="9"/>
  <c r="J56" i="9" s="1"/>
  <c r="K56" i="9" s="1"/>
  <c r="L56" i="9" s="1"/>
  <c r="M56" i="9" s="1"/>
  <c r="N56" i="9" s="1"/>
  <c r="I55" i="9"/>
  <c r="J55" i="9" s="1"/>
  <c r="K55" i="9" s="1"/>
  <c r="L55" i="9" s="1"/>
  <c r="M55" i="9" s="1"/>
  <c r="N55" i="9" s="1"/>
  <c r="J54" i="9"/>
  <c r="K54" i="9" s="1"/>
  <c r="L54" i="9" s="1"/>
  <c r="M54" i="9" s="1"/>
  <c r="N54" i="9" s="1"/>
  <c r="I53" i="9"/>
  <c r="J53" i="9" s="1"/>
  <c r="K53" i="9" s="1"/>
  <c r="L53" i="9" s="1"/>
  <c r="M53" i="9" s="1"/>
  <c r="N53" i="9" s="1"/>
  <c r="I51" i="9"/>
  <c r="J51" i="9" s="1"/>
  <c r="K51" i="9" s="1"/>
  <c r="L51" i="9" s="1"/>
  <c r="M51" i="9" s="1"/>
  <c r="N51" i="9" s="1"/>
  <c r="I50" i="9"/>
  <c r="J50" i="9" s="1"/>
  <c r="K50" i="9" s="1"/>
  <c r="L50" i="9" s="1"/>
  <c r="M50" i="9" s="1"/>
  <c r="N50" i="9" s="1"/>
  <c r="I49" i="9"/>
  <c r="J49" i="9" s="1"/>
  <c r="K49" i="9" s="1"/>
  <c r="L49" i="9" s="1"/>
  <c r="M49" i="9" s="1"/>
  <c r="N49" i="9" s="1"/>
  <c r="I48" i="9"/>
  <c r="J48" i="9" s="1"/>
  <c r="I45" i="9"/>
  <c r="J45" i="9" s="1"/>
  <c r="K45" i="9" s="1"/>
  <c r="L45" i="9" s="1"/>
  <c r="M45" i="9" s="1"/>
  <c r="N45" i="9" s="1"/>
  <c r="I44" i="9"/>
  <c r="J44" i="9" s="1"/>
  <c r="K44" i="9" s="1"/>
  <c r="L44" i="9" s="1"/>
  <c r="M44" i="9" s="1"/>
  <c r="N44" i="9" s="1"/>
  <c r="I43" i="9"/>
  <c r="J43" i="9" s="1"/>
  <c r="K43" i="9" s="1"/>
  <c r="L43" i="9" s="1"/>
  <c r="M43" i="9" s="1"/>
  <c r="N43" i="9" s="1"/>
  <c r="I42" i="9"/>
  <c r="J42" i="9" s="1"/>
  <c r="K42" i="9" s="1"/>
  <c r="L42" i="9" s="1"/>
  <c r="M42" i="9" s="1"/>
  <c r="N42" i="9" s="1"/>
  <c r="I41" i="9"/>
  <c r="J41" i="9" s="1"/>
  <c r="I38" i="9"/>
  <c r="J38" i="9" s="1"/>
  <c r="K38" i="9" s="1"/>
  <c r="L38" i="9" s="1"/>
  <c r="M38" i="9" s="1"/>
  <c r="N38" i="9" s="1"/>
  <c r="I37" i="9"/>
  <c r="J37" i="9" s="1"/>
  <c r="K37" i="9" s="1"/>
  <c r="L37" i="9" s="1"/>
  <c r="M37" i="9" s="1"/>
  <c r="N37" i="9" s="1"/>
  <c r="I36" i="9"/>
  <c r="J36" i="9" s="1"/>
  <c r="K36" i="9" s="1"/>
  <c r="L36" i="9" s="1"/>
  <c r="M36" i="9" s="1"/>
  <c r="N36" i="9" s="1"/>
  <c r="I35" i="9"/>
  <c r="I34" i="9"/>
  <c r="J34" i="9" s="1"/>
  <c r="I32" i="9"/>
  <c r="J32" i="9" s="1"/>
  <c r="K32" i="9" s="1"/>
  <c r="L32" i="9" s="1"/>
  <c r="M32" i="9" s="1"/>
  <c r="N32" i="9" s="1"/>
  <c r="I31" i="9"/>
  <c r="J31" i="9" s="1"/>
  <c r="K31" i="9" s="1"/>
  <c r="L31" i="9" s="1"/>
  <c r="M31" i="9" s="1"/>
  <c r="N31" i="9" s="1"/>
  <c r="I30" i="9"/>
  <c r="J30" i="9" s="1"/>
  <c r="K30" i="9" s="1"/>
  <c r="L30" i="9" s="1"/>
  <c r="M30" i="9" s="1"/>
  <c r="N30" i="9" s="1"/>
  <c r="I29" i="9"/>
  <c r="J29" i="9" s="1"/>
  <c r="K29" i="9" s="1"/>
  <c r="L29" i="9" s="1"/>
  <c r="M29" i="9" s="1"/>
  <c r="N29" i="9" s="1"/>
  <c r="I28" i="9"/>
  <c r="J28" i="9" s="1"/>
  <c r="K28" i="9" s="1"/>
  <c r="L28" i="9" s="1"/>
  <c r="M28" i="9" s="1"/>
  <c r="N28" i="9" s="1"/>
  <c r="I25" i="9"/>
  <c r="J25" i="9" s="1"/>
  <c r="K25" i="9" s="1"/>
  <c r="L25" i="9" s="1"/>
  <c r="M25" i="9" s="1"/>
  <c r="N25" i="9" s="1"/>
  <c r="I24" i="9"/>
  <c r="J24" i="9" s="1"/>
  <c r="I23" i="9"/>
  <c r="N21" i="9"/>
  <c r="M21" i="9"/>
  <c r="L21" i="9"/>
  <c r="K21" i="9"/>
  <c r="J21" i="9"/>
  <c r="I21" i="9"/>
  <c r="I18" i="9"/>
  <c r="J18" i="9" s="1"/>
  <c r="K18" i="9" s="1"/>
  <c r="L18" i="9" s="1"/>
  <c r="M18" i="9" s="1"/>
  <c r="N18" i="9" s="1"/>
  <c r="N19" i="9" s="1"/>
  <c r="I13" i="9"/>
  <c r="J13" i="9" s="1"/>
  <c r="N12" i="9"/>
  <c r="M12" i="9"/>
  <c r="L12" i="9"/>
  <c r="K12" i="9"/>
  <c r="J12" i="9"/>
  <c r="I12" i="9"/>
  <c r="H88" i="8"/>
  <c r="I87" i="8"/>
  <c r="J87" i="8" s="1"/>
  <c r="K87" i="8" s="1"/>
  <c r="L87" i="8" s="1"/>
  <c r="M87" i="8" s="1"/>
  <c r="N87" i="8" s="1"/>
  <c r="I86" i="8"/>
  <c r="J86" i="8" s="1"/>
  <c r="K86" i="8" s="1"/>
  <c r="L86" i="8" s="1"/>
  <c r="M86" i="8" s="1"/>
  <c r="N86" i="8" s="1"/>
  <c r="I85" i="8"/>
  <c r="J85" i="8" s="1"/>
  <c r="K85" i="8" s="1"/>
  <c r="L85" i="8" s="1"/>
  <c r="M85" i="8" s="1"/>
  <c r="N85" i="8" s="1"/>
  <c r="I84" i="8"/>
  <c r="I82" i="8"/>
  <c r="J82" i="8" s="1"/>
  <c r="K82" i="8" s="1"/>
  <c r="L82" i="8" s="1"/>
  <c r="M82" i="8" s="1"/>
  <c r="N82" i="8" s="1"/>
  <c r="I81" i="8"/>
  <c r="J81" i="8" s="1"/>
  <c r="K81" i="8" s="1"/>
  <c r="L81" i="8" s="1"/>
  <c r="M81" i="8" s="1"/>
  <c r="N81" i="8" s="1"/>
  <c r="I80" i="8"/>
  <c r="J80" i="8" s="1"/>
  <c r="K80" i="8" s="1"/>
  <c r="L80" i="8" s="1"/>
  <c r="M80" i="8" s="1"/>
  <c r="N80" i="8" s="1"/>
  <c r="H79" i="8"/>
  <c r="I78" i="8"/>
  <c r="J78" i="8" s="1"/>
  <c r="K78" i="8" s="1"/>
  <c r="L78" i="8" s="1"/>
  <c r="M78" i="8" s="1"/>
  <c r="N78" i="8" s="1"/>
  <c r="I77" i="8"/>
  <c r="J77" i="8" s="1"/>
  <c r="K77" i="8" s="1"/>
  <c r="L77" i="8" s="1"/>
  <c r="M77" i="8" s="1"/>
  <c r="N77" i="8" s="1"/>
  <c r="I76" i="8"/>
  <c r="J76" i="8" s="1"/>
  <c r="K76" i="8" s="1"/>
  <c r="L76" i="8" s="1"/>
  <c r="M76" i="8" s="1"/>
  <c r="N76" i="8" s="1"/>
  <c r="I75" i="8"/>
  <c r="J75" i="8" s="1"/>
  <c r="K75" i="8" s="1"/>
  <c r="L75" i="8" s="1"/>
  <c r="M75" i="8" s="1"/>
  <c r="N75" i="8" s="1"/>
  <c r="I73" i="8"/>
  <c r="J73" i="8" s="1"/>
  <c r="K73" i="8" s="1"/>
  <c r="L73" i="8" s="1"/>
  <c r="M73" i="8" s="1"/>
  <c r="N73" i="8" s="1"/>
  <c r="I72" i="8"/>
  <c r="J72" i="8" s="1"/>
  <c r="K72" i="8" s="1"/>
  <c r="L72" i="8" s="1"/>
  <c r="M72" i="8" s="1"/>
  <c r="N72" i="8" s="1"/>
  <c r="I71" i="8"/>
  <c r="J71" i="8" s="1"/>
  <c r="I69" i="8"/>
  <c r="J69" i="8" s="1"/>
  <c r="K69" i="8" s="1"/>
  <c r="L69" i="8" s="1"/>
  <c r="M69" i="8" s="1"/>
  <c r="N69" i="8" s="1"/>
  <c r="H68" i="8"/>
  <c r="I67" i="8"/>
  <c r="J67" i="8" s="1"/>
  <c r="K67" i="8" s="1"/>
  <c r="L67" i="8" s="1"/>
  <c r="M67" i="8" s="1"/>
  <c r="N67" i="8" s="1"/>
  <c r="I66" i="8"/>
  <c r="J66" i="8" s="1"/>
  <c r="K66" i="8" s="1"/>
  <c r="L66" i="8" s="1"/>
  <c r="M66" i="8" s="1"/>
  <c r="N66" i="8" s="1"/>
  <c r="I64" i="8"/>
  <c r="J64" i="8" s="1"/>
  <c r="K64" i="8" s="1"/>
  <c r="L64" i="8" s="1"/>
  <c r="M64" i="8" s="1"/>
  <c r="N64" i="8" s="1"/>
  <c r="I63" i="8"/>
  <c r="J63" i="8" s="1"/>
  <c r="K63" i="8" s="1"/>
  <c r="L63" i="8" s="1"/>
  <c r="M63" i="8" s="1"/>
  <c r="N63" i="8" s="1"/>
  <c r="I62" i="8"/>
  <c r="J62" i="8" s="1"/>
  <c r="H60" i="8"/>
  <c r="I59" i="8"/>
  <c r="J59" i="8" s="1"/>
  <c r="K59" i="8" s="1"/>
  <c r="L59" i="8" s="1"/>
  <c r="M59" i="8" s="1"/>
  <c r="N59" i="8" s="1"/>
  <c r="I58" i="8"/>
  <c r="I56" i="8"/>
  <c r="J56" i="8" s="1"/>
  <c r="K56" i="8" s="1"/>
  <c r="L56" i="8" s="1"/>
  <c r="M56" i="8" s="1"/>
  <c r="N56" i="8" s="1"/>
  <c r="J54" i="8"/>
  <c r="K54" i="8" s="1"/>
  <c r="L54" i="8" s="1"/>
  <c r="M54" i="8" s="1"/>
  <c r="N54" i="8" s="1"/>
  <c r="I53" i="8"/>
  <c r="J53" i="8" s="1"/>
  <c r="K53" i="8" s="1"/>
  <c r="L53" i="8" s="1"/>
  <c r="M53" i="8" s="1"/>
  <c r="N53" i="8" s="1"/>
  <c r="H52" i="8"/>
  <c r="I51" i="8"/>
  <c r="J51" i="8" s="1"/>
  <c r="K51" i="8" s="1"/>
  <c r="L51" i="8" s="1"/>
  <c r="M51" i="8" s="1"/>
  <c r="N51" i="8" s="1"/>
  <c r="I50" i="8"/>
  <c r="J50" i="8" s="1"/>
  <c r="K50" i="8" s="1"/>
  <c r="L50" i="8" s="1"/>
  <c r="M50" i="8" s="1"/>
  <c r="N50" i="8" s="1"/>
  <c r="I49" i="8"/>
  <c r="J49" i="8" s="1"/>
  <c r="K49" i="8" s="1"/>
  <c r="L49" i="8" s="1"/>
  <c r="M49" i="8" s="1"/>
  <c r="N49" i="8" s="1"/>
  <c r="I48" i="8"/>
  <c r="H46" i="8"/>
  <c r="I45" i="8"/>
  <c r="J45" i="8" s="1"/>
  <c r="K45" i="8" s="1"/>
  <c r="L45" i="8" s="1"/>
  <c r="M45" i="8" s="1"/>
  <c r="N45" i="8" s="1"/>
  <c r="I44" i="8"/>
  <c r="J44" i="8" s="1"/>
  <c r="K44" i="8" s="1"/>
  <c r="L44" i="8" s="1"/>
  <c r="M44" i="8" s="1"/>
  <c r="N44" i="8" s="1"/>
  <c r="I43" i="8"/>
  <c r="I42" i="8"/>
  <c r="J42" i="8" s="1"/>
  <c r="K42" i="8" s="1"/>
  <c r="L42" i="8" s="1"/>
  <c r="M42" i="8" s="1"/>
  <c r="N42" i="8" s="1"/>
  <c r="I41" i="8"/>
  <c r="J41" i="8" s="1"/>
  <c r="K41" i="8" s="1"/>
  <c r="L41" i="8" s="1"/>
  <c r="H39" i="8"/>
  <c r="I38" i="8"/>
  <c r="J38" i="8" s="1"/>
  <c r="K38" i="8" s="1"/>
  <c r="L38" i="8" s="1"/>
  <c r="M38" i="8" s="1"/>
  <c r="N38" i="8" s="1"/>
  <c r="I37" i="8"/>
  <c r="J37" i="8" s="1"/>
  <c r="K37" i="8" s="1"/>
  <c r="L37" i="8" s="1"/>
  <c r="M37" i="8" s="1"/>
  <c r="N37" i="8" s="1"/>
  <c r="I36" i="8"/>
  <c r="J36" i="8" s="1"/>
  <c r="K36" i="8" s="1"/>
  <c r="L36" i="8" s="1"/>
  <c r="M36" i="8" s="1"/>
  <c r="N36" i="8" s="1"/>
  <c r="I35" i="8"/>
  <c r="J35" i="8" s="1"/>
  <c r="K35" i="8" s="1"/>
  <c r="L35" i="8" s="1"/>
  <c r="M35" i="8" s="1"/>
  <c r="N35" i="8" s="1"/>
  <c r="I34" i="8"/>
  <c r="I32" i="8"/>
  <c r="J32" i="8" s="1"/>
  <c r="K32" i="8" s="1"/>
  <c r="L32" i="8" s="1"/>
  <c r="M32" i="8" s="1"/>
  <c r="N32" i="8" s="1"/>
  <c r="I31" i="8"/>
  <c r="J31" i="8" s="1"/>
  <c r="K31" i="8" s="1"/>
  <c r="L31" i="8" s="1"/>
  <c r="M31" i="8" s="1"/>
  <c r="N31" i="8" s="1"/>
  <c r="I30" i="8"/>
  <c r="J30" i="8" s="1"/>
  <c r="K30" i="8" s="1"/>
  <c r="L30" i="8" s="1"/>
  <c r="M30" i="8" s="1"/>
  <c r="N30" i="8" s="1"/>
  <c r="I29" i="8"/>
  <c r="J29" i="8" s="1"/>
  <c r="K29" i="8" s="1"/>
  <c r="L29" i="8" s="1"/>
  <c r="M29" i="8" s="1"/>
  <c r="N29" i="8" s="1"/>
  <c r="I28" i="8"/>
  <c r="J28" i="8" s="1"/>
  <c r="K28" i="8" s="1"/>
  <c r="L28" i="8" s="1"/>
  <c r="M28" i="8" s="1"/>
  <c r="N28" i="8" s="1"/>
  <c r="H26" i="8"/>
  <c r="I25" i="8"/>
  <c r="J25" i="8" s="1"/>
  <c r="K25" i="8" s="1"/>
  <c r="L25" i="8" s="1"/>
  <c r="M25" i="8" s="1"/>
  <c r="N25" i="8" s="1"/>
  <c r="J24" i="8"/>
  <c r="K24" i="8" s="1"/>
  <c r="L24" i="8" s="1"/>
  <c r="M24" i="8" s="1"/>
  <c r="N24" i="8" s="1"/>
  <c r="I23" i="8"/>
  <c r="N21" i="8"/>
  <c r="M21" i="8"/>
  <c r="L21" i="8"/>
  <c r="K21" i="8"/>
  <c r="J21" i="8"/>
  <c r="I21" i="8"/>
  <c r="H19" i="8"/>
  <c r="I18" i="8"/>
  <c r="I19" i="8" s="1"/>
  <c r="I13" i="8"/>
  <c r="N12" i="8"/>
  <c r="M12" i="8"/>
  <c r="L12" i="8"/>
  <c r="K12" i="8"/>
  <c r="J12" i="8"/>
  <c r="H12" i="8"/>
  <c r="W76" i="1"/>
  <c r="V76" i="1"/>
  <c r="U76" i="1"/>
  <c r="W75" i="1"/>
  <c r="V75" i="1"/>
  <c r="U75" i="1"/>
  <c r="W74" i="1"/>
  <c r="V74" i="1"/>
  <c r="U74" i="1"/>
  <c r="W73" i="1"/>
  <c r="V73" i="1"/>
  <c r="U73" i="1"/>
  <c r="W72" i="1"/>
  <c r="V72" i="1"/>
  <c r="U72" i="1"/>
  <c r="W71" i="1"/>
  <c r="V71" i="1"/>
  <c r="U71" i="1"/>
  <c r="W70" i="1"/>
  <c r="V70" i="1"/>
  <c r="U70" i="1"/>
  <c r="W69" i="1"/>
  <c r="V69" i="1"/>
  <c r="U69" i="1"/>
  <c r="W68" i="1"/>
  <c r="V68" i="1"/>
  <c r="U68" i="1"/>
  <c r="W67" i="1"/>
  <c r="V67" i="1"/>
  <c r="U67" i="1"/>
  <c r="W66" i="1"/>
  <c r="V66" i="1"/>
  <c r="W62" i="1"/>
  <c r="V62" i="1"/>
  <c r="U62" i="1"/>
  <c r="W61" i="1"/>
  <c r="V61" i="1"/>
  <c r="U61" i="1"/>
  <c r="W60" i="1"/>
  <c r="V60" i="1"/>
  <c r="U60" i="1"/>
  <c r="W59" i="1"/>
  <c r="V59" i="1"/>
  <c r="U59" i="1"/>
  <c r="W58" i="1"/>
  <c r="V58" i="1"/>
  <c r="U58" i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W49" i="1"/>
  <c r="V49" i="1"/>
  <c r="U49" i="1"/>
  <c r="W48" i="1"/>
  <c r="V48" i="1"/>
  <c r="U48" i="1"/>
  <c r="W47" i="1"/>
  <c r="V47" i="1"/>
  <c r="U47" i="1"/>
  <c r="W46" i="1"/>
  <c r="V46" i="1"/>
  <c r="U46" i="1"/>
  <c r="W45" i="1"/>
  <c r="V45" i="1"/>
  <c r="U45" i="1"/>
  <c r="W44" i="1"/>
  <c r="V44" i="1"/>
  <c r="U44" i="1"/>
  <c r="W43" i="1"/>
  <c r="V43" i="1"/>
  <c r="U43" i="1"/>
  <c r="W42" i="1"/>
  <c r="V42" i="1"/>
  <c r="U42" i="1"/>
  <c r="W41" i="1"/>
  <c r="V41" i="1"/>
  <c r="U41" i="1"/>
  <c r="W40" i="1"/>
  <c r="V40" i="1"/>
  <c r="U40" i="1"/>
  <c r="W39" i="1"/>
  <c r="V39" i="1"/>
  <c r="W27" i="1"/>
  <c r="W28" i="1"/>
  <c r="W29" i="1"/>
  <c r="W30" i="1"/>
  <c r="W31" i="1"/>
  <c r="W32" i="1"/>
  <c r="W33" i="1"/>
  <c r="W34" i="1"/>
  <c r="W35" i="1"/>
  <c r="W36" i="1"/>
  <c r="W26" i="1"/>
  <c r="V27" i="1"/>
  <c r="V28" i="1"/>
  <c r="V29" i="1"/>
  <c r="V30" i="1"/>
  <c r="V31" i="1"/>
  <c r="V32" i="1"/>
  <c r="V33" i="1"/>
  <c r="V34" i="1"/>
  <c r="V35" i="1"/>
  <c r="V36" i="1"/>
  <c r="V26" i="1"/>
  <c r="U33" i="1"/>
  <c r="U34" i="1"/>
  <c r="U35" i="1"/>
  <c r="U36" i="1"/>
  <c r="U32" i="1"/>
  <c r="U29" i="1"/>
  <c r="U30" i="1"/>
  <c r="U31" i="1"/>
  <c r="U28" i="1"/>
  <c r="U27" i="1"/>
  <c r="I52" i="8" l="1"/>
  <c r="I88" i="8"/>
  <c r="I26" i="8"/>
  <c r="J19" i="9"/>
  <c r="J88" i="9"/>
  <c r="I19" i="9"/>
  <c r="I26" i="9"/>
  <c r="J23" i="9"/>
  <c r="K23" i="9" s="1"/>
  <c r="L23" i="9" s="1"/>
  <c r="M23" i="9" s="1"/>
  <c r="I39" i="9"/>
  <c r="J52" i="9"/>
  <c r="X74" i="1"/>
  <c r="X57" i="1"/>
  <c r="X62" i="1"/>
  <c r="X49" i="1"/>
  <c r="X41" i="1"/>
  <c r="X30" i="1"/>
  <c r="X34" i="1"/>
  <c r="X32" i="1"/>
  <c r="I79" i="9"/>
  <c r="I60" i="9"/>
  <c r="K19" i="9"/>
  <c r="L19" i="9"/>
  <c r="I79" i="8"/>
  <c r="I60" i="8"/>
  <c r="I46" i="8"/>
  <c r="I39" i="8"/>
  <c r="J13" i="8"/>
  <c r="K24" i="9"/>
  <c r="L62" i="9"/>
  <c r="K68" i="9"/>
  <c r="M19" i="9"/>
  <c r="M58" i="9"/>
  <c r="K41" i="9"/>
  <c r="J46" i="9"/>
  <c r="J60" i="9"/>
  <c r="K59" i="9"/>
  <c r="L59" i="9" s="1"/>
  <c r="M59" i="9" s="1"/>
  <c r="N59" i="9" s="1"/>
  <c r="K34" i="9"/>
  <c r="K13" i="9"/>
  <c r="J71" i="9"/>
  <c r="I52" i="9"/>
  <c r="I68" i="9"/>
  <c r="I88" i="9"/>
  <c r="I46" i="9"/>
  <c r="K48" i="9"/>
  <c r="J68" i="9"/>
  <c r="K84" i="9"/>
  <c r="J35" i="9"/>
  <c r="K35" i="9" s="1"/>
  <c r="L35" i="9" s="1"/>
  <c r="M35" i="9" s="1"/>
  <c r="N35" i="9" s="1"/>
  <c r="K62" i="8"/>
  <c r="J68" i="8"/>
  <c r="J79" i="8"/>
  <c r="K71" i="8"/>
  <c r="J23" i="8"/>
  <c r="J43" i="8"/>
  <c r="K43" i="8" s="1"/>
  <c r="L43" i="8" s="1"/>
  <c r="M43" i="8" s="1"/>
  <c r="N43" i="8" s="1"/>
  <c r="J58" i="8"/>
  <c r="J18" i="8"/>
  <c r="J34" i="8"/>
  <c r="M41" i="8"/>
  <c r="J48" i="8"/>
  <c r="I68" i="8"/>
  <c r="J84" i="8"/>
  <c r="X69" i="1"/>
  <c r="X47" i="1"/>
  <c r="X60" i="1"/>
  <c r="X33" i="1"/>
  <c r="X28" i="1"/>
  <c r="X45" i="1"/>
  <c r="X72" i="1"/>
  <c r="X27" i="1"/>
  <c r="X53" i="1"/>
  <c r="X67" i="1"/>
  <c r="X43" i="1"/>
  <c r="X56" i="1"/>
  <c r="X75" i="1"/>
  <c r="X29" i="1"/>
  <c r="X31" i="1"/>
  <c r="X46" i="1"/>
  <c r="X59" i="1"/>
  <c r="X73" i="1"/>
  <c r="X42" i="1"/>
  <c r="X55" i="1"/>
  <c r="X58" i="1"/>
  <c r="X26" i="1"/>
  <c r="X40" i="1"/>
  <c r="X48" i="1"/>
  <c r="X61" i="1"/>
  <c r="X70" i="1"/>
  <c r="X68" i="1"/>
  <c r="X35" i="1"/>
  <c r="X44" i="1"/>
  <c r="X54" i="1"/>
  <c r="X71" i="1"/>
  <c r="X36" i="1"/>
  <c r="X39" i="1"/>
  <c r="X52" i="1"/>
  <c r="X66" i="1"/>
  <c r="X76" i="1"/>
  <c r="J26" i="9" l="1"/>
  <c r="K46" i="8"/>
  <c r="K60" i="9"/>
  <c r="J39" i="9"/>
  <c r="L60" i="9"/>
  <c r="K13" i="8"/>
  <c r="L13" i="8" s="1"/>
  <c r="L34" i="9"/>
  <c r="K39" i="9"/>
  <c r="K46" i="9"/>
  <c r="L41" i="9"/>
  <c r="K52" i="9"/>
  <c r="L48" i="9"/>
  <c r="L13" i="9"/>
  <c r="N58" i="9"/>
  <c r="N60" i="9" s="1"/>
  <c r="M60" i="9"/>
  <c r="J79" i="9"/>
  <c r="K71" i="9"/>
  <c r="K88" i="9"/>
  <c r="L84" i="9"/>
  <c r="N23" i="9"/>
  <c r="L68" i="9"/>
  <c r="M62" i="9"/>
  <c r="K26" i="9"/>
  <c r="L24" i="9"/>
  <c r="L62" i="8"/>
  <c r="K68" i="8"/>
  <c r="M46" i="8"/>
  <c r="N41" i="8"/>
  <c r="N46" i="8" s="1"/>
  <c r="J19" i="8"/>
  <c r="K18" i="8"/>
  <c r="J52" i="8"/>
  <c r="K48" i="8"/>
  <c r="K79" i="8"/>
  <c r="L71" i="8"/>
  <c r="J60" i="8"/>
  <c r="K58" i="8"/>
  <c r="J88" i="8"/>
  <c r="K84" i="8"/>
  <c r="J46" i="8"/>
  <c r="L46" i="8"/>
  <c r="J39" i="8"/>
  <c r="K34" i="8"/>
  <c r="J26" i="8"/>
  <c r="K23" i="8"/>
  <c r="L52" i="9" l="1"/>
  <c r="M48" i="9"/>
  <c r="M34" i="9"/>
  <c r="L39" i="9"/>
  <c r="M13" i="9"/>
  <c r="L88" i="9"/>
  <c r="M84" i="9"/>
  <c r="M24" i="9"/>
  <c r="L26" i="9"/>
  <c r="K79" i="9"/>
  <c r="L71" i="9"/>
  <c r="L46" i="9"/>
  <c r="M41" i="9"/>
  <c r="M68" i="9"/>
  <c r="N62" i="9"/>
  <c r="N68" i="9" s="1"/>
  <c r="L58" i="8"/>
  <c r="K60" i="8"/>
  <c r="L18" i="8"/>
  <c r="K19" i="8"/>
  <c r="K52" i="8"/>
  <c r="L48" i="8"/>
  <c r="M13" i="8"/>
  <c r="K26" i="8"/>
  <c r="L23" i="8"/>
  <c r="K88" i="8"/>
  <c r="L84" i="8"/>
  <c r="L79" i="8"/>
  <c r="M71" i="8"/>
  <c r="L34" i="8"/>
  <c r="K39" i="8"/>
  <c r="L68" i="8"/>
  <c r="M62" i="8"/>
  <c r="K7" i="9" l="1"/>
  <c r="J7" i="9"/>
  <c r="M7" i="9"/>
  <c r="M20" i="9" s="1"/>
  <c r="L7" i="9"/>
  <c r="I7" i="9"/>
  <c r="N7" i="9"/>
  <c r="N41" i="9"/>
  <c r="N46" i="9" s="1"/>
  <c r="M46" i="9"/>
  <c r="L79" i="9"/>
  <c r="M71" i="9"/>
  <c r="M52" i="9"/>
  <c r="N48" i="9"/>
  <c r="N52" i="9" s="1"/>
  <c r="N13" i="9"/>
  <c r="N24" i="9"/>
  <c r="N26" i="9" s="1"/>
  <c r="M26" i="9"/>
  <c r="M88" i="9"/>
  <c r="N84" i="9"/>
  <c r="N88" i="9" s="1"/>
  <c r="N34" i="9"/>
  <c r="N39" i="9" s="1"/>
  <c r="M39" i="9"/>
  <c r="M79" i="8"/>
  <c r="N71" i="8"/>
  <c r="N79" i="8" s="1"/>
  <c r="M58" i="8"/>
  <c r="L60" i="8"/>
  <c r="N13" i="8"/>
  <c r="L88" i="8"/>
  <c r="M84" i="8"/>
  <c r="M34" i="8"/>
  <c r="L39" i="8"/>
  <c r="L52" i="8"/>
  <c r="M48" i="8"/>
  <c r="M68" i="8"/>
  <c r="N62" i="8"/>
  <c r="N68" i="8" s="1"/>
  <c r="L26" i="8"/>
  <c r="M23" i="8"/>
  <c r="M18" i="8"/>
  <c r="L19" i="8"/>
  <c r="I20" i="9" l="1"/>
  <c r="I14" i="9"/>
  <c r="J20" i="9"/>
  <c r="J14" i="9"/>
  <c r="M14" i="9"/>
  <c r="L14" i="9"/>
  <c r="L20" i="9"/>
  <c r="K20" i="9"/>
  <c r="K14" i="9"/>
  <c r="N14" i="9"/>
  <c r="N20" i="9"/>
  <c r="M79" i="9"/>
  <c r="N71" i="9"/>
  <c r="N79" i="9" s="1"/>
  <c r="M52" i="8"/>
  <c r="N48" i="8"/>
  <c r="N52" i="8" s="1"/>
  <c r="N18" i="8"/>
  <c r="N19" i="8" s="1"/>
  <c r="M19" i="8"/>
  <c r="N34" i="8"/>
  <c r="N39" i="8" s="1"/>
  <c r="M39" i="8"/>
  <c r="M26" i="8"/>
  <c r="N23" i="8"/>
  <c r="N26" i="8" s="1"/>
  <c r="M88" i="8"/>
  <c r="N84" i="8"/>
  <c r="N88" i="8" s="1"/>
  <c r="N58" i="8"/>
  <c r="N60" i="8" s="1"/>
  <c r="M60" i="8"/>
  <c r="I90" i="9" l="1"/>
  <c r="I92" i="9" s="1"/>
  <c r="C4" i="16" s="1"/>
  <c r="K90" i="9"/>
  <c r="K92" i="9" s="1"/>
  <c r="E4" i="16" s="1"/>
  <c r="L90" i="9"/>
  <c r="L92" i="9" s="1"/>
  <c r="F4" i="16" s="1"/>
  <c r="J90" i="9"/>
  <c r="J92" i="9" s="1"/>
  <c r="D4" i="16" s="1"/>
  <c r="M90" i="9"/>
  <c r="M92" i="9" s="1"/>
  <c r="G4" i="16" s="1"/>
  <c r="N90" i="9"/>
  <c r="N92" i="9" s="1"/>
  <c r="H4" i="16" s="1"/>
  <c r="A39" i="1" l="1"/>
  <c r="C39" i="1" s="1"/>
  <c r="A28" i="1"/>
  <c r="C28" i="1" s="1"/>
  <c r="A17" i="1"/>
  <c r="C17" i="1" s="1"/>
  <c r="A16" i="1"/>
  <c r="C16" i="1" s="1"/>
  <c r="A15" i="1"/>
  <c r="C15" i="1" s="1"/>
  <c r="M20" i="18" l="1"/>
  <c r="B28" i="1"/>
  <c r="D28" i="1" s="1"/>
  <c r="E28" i="1" s="1"/>
  <c r="B16" i="1"/>
  <c r="D16" i="1" s="1"/>
  <c r="B17" i="1"/>
  <c r="D17" i="1" s="1"/>
  <c r="A29" i="1"/>
  <c r="C29" i="1" s="1"/>
  <c r="A48" i="1"/>
  <c r="C48" i="1" s="1"/>
  <c r="A37" i="1"/>
  <c r="C37" i="1" s="1"/>
  <c r="A34" i="1"/>
  <c r="C34" i="1" s="1"/>
  <c r="A40" i="1"/>
  <c r="C40" i="1" s="1"/>
  <c r="A36" i="1"/>
  <c r="C36" i="1" s="1"/>
  <c r="A42" i="1"/>
  <c r="C42" i="1" s="1"/>
  <c r="A43" i="1"/>
  <c r="C43" i="1" s="1"/>
  <c r="A30" i="1"/>
  <c r="C30" i="1" s="1"/>
  <c r="A38" i="1"/>
  <c r="C38" i="1" s="1"/>
  <c r="A44" i="1"/>
  <c r="C44" i="1" s="1"/>
  <c r="A31" i="1"/>
  <c r="C31" i="1" s="1"/>
  <c r="A45" i="1"/>
  <c r="C45" i="1" s="1"/>
  <c r="A32" i="1"/>
  <c r="C32" i="1" s="1"/>
  <c r="B39" i="1"/>
  <c r="D39" i="1" s="1"/>
  <c r="A46" i="1"/>
  <c r="C46" i="1" s="1"/>
  <c r="A33" i="1"/>
  <c r="C33" i="1" s="1"/>
  <c r="A47" i="1"/>
  <c r="C47" i="1" s="1"/>
  <c r="A35" i="1"/>
  <c r="C35" i="1" s="1"/>
  <c r="A41" i="1"/>
  <c r="C41" i="1" s="1"/>
  <c r="A49" i="1"/>
  <c r="C49" i="1" s="1"/>
  <c r="A20" i="1"/>
  <c r="C20" i="1" s="1"/>
  <c r="A18" i="1"/>
  <c r="C18" i="1" s="1"/>
  <c r="A21" i="1"/>
  <c r="C21" i="1" s="1"/>
  <c r="A25" i="1"/>
  <c r="C25" i="1" s="1"/>
  <c r="A26" i="1"/>
  <c r="C26" i="1" s="1"/>
  <c r="A19" i="1"/>
  <c r="C19" i="1" s="1"/>
  <c r="A23" i="1"/>
  <c r="C23" i="1" s="1"/>
  <c r="A27" i="1"/>
  <c r="C27" i="1" s="1"/>
  <c r="A22" i="1"/>
  <c r="C22" i="1" s="1"/>
  <c r="A24" i="1"/>
  <c r="C24" i="1" s="1"/>
  <c r="B15" i="1"/>
  <c r="M90" i="18" l="1"/>
  <c r="M92" i="18" s="1"/>
  <c r="G5" i="16" s="1"/>
  <c r="L20" i="18"/>
  <c r="J20" i="18"/>
  <c r="I20" i="18"/>
  <c r="N20" i="18"/>
  <c r="K20" i="18"/>
  <c r="D15" i="1"/>
  <c r="E15" i="1" s="1"/>
  <c r="E17" i="1"/>
  <c r="Z11" i="1" s="1"/>
  <c r="E39" i="1"/>
  <c r="E16" i="1"/>
  <c r="B29" i="1"/>
  <c r="D29" i="1" s="1"/>
  <c r="B48" i="1"/>
  <c r="D48" i="1" s="1"/>
  <c r="B45" i="1"/>
  <c r="D45" i="1" s="1"/>
  <c r="B40" i="1"/>
  <c r="D40" i="1" s="1"/>
  <c r="B34" i="1"/>
  <c r="D34" i="1" s="1"/>
  <c r="B37" i="1"/>
  <c r="B38" i="1"/>
  <c r="D38" i="1" s="1"/>
  <c r="B44" i="1"/>
  <c r="D44" i="1" s="1"/>
  <c r="B49" i="1"/>
  <c r="D49" i="1" s="1"/>
  <c r="B30" i="1"/>
  <c r="D30" i="1" s="1"/>
  <c r="B32" i="1"/>
  <c r="D32" i="1" s="1"/>
  <c r="B43" i="1"/>
  <c r="D43" i="1" s="1"/>
  <c r="B35" i="1"/>
  <c r="D35" i="1" s="1"/>
  <c r="B42" i="1"/>
  <c r="D42" i="1" s="1"/>
  <c r="B47" i="1"/>
  <c r="D47" i="1" s="1"/>
  <c r="B36" i="1"/>
  <c r="D36" i="1" s="1"/>
  <c r="B46" i="1"/>
  <c r="D46" i="1" s="1"/>
  <c r="B31" i="1"/>
  <c r="D31" i="1" s="1"/>
  <c r="B41" i="1"/>
  <c r="D41" i="1" s="1"/>
  <c r="B33" i="1"/>
  <c r="B24" i="1"/>
  <c r="D24" i="1" s="1"/>
  <c r="B19" i="1"/>
  <c r="D19" i="1" s="1"/>
  <c r="B18" i="1"/>
  <c r="D18" i="1" s="1"/>
  <c r="B23" i="1"/>
  <c r="D23" i="1" s="1"/>
  <c r="B21" i="1"/>
  <c r="D21" i="1" s="1"/>
  <c r="B22" i="1"/>
  <c r="D22" i="1" s="1"/>
  <c r="B26" i="1"/>
  <c r="D26" i="1" s="1"/>
  <c r="B27" i="1"/>
  <c r="D27" i="1" s="1"/>
  <c r="B25" i="1"/>
  <c r="D25" i="1" s="1"/>
  <c r="B20" i="1"/>
  <c r="V9" i="1" l="1"/>
  <c r="V16" i="1" s="1"/>
  <c r="V11" i="1"/>
  <c r="V18" i="1" s="1"/>
  <c r="V10" i="1"/>
  <c r="V17" i="1" s="1"/>
  <c r="V8" i="1"/>
  <c r="V15" i="1" s="1"/>
  <c r="V23" i="1" s="1"/>
  <c r="J90" i="18"/>
  <c r="J92" i="18" s="1"/>
  <c r="D5" i="16" s="1"/>
  <c r="K90" i="18"/>
  <c r="K92" i="18" s="1"/>
  <c r="E5" i="16" s="1"/>
  <c r="L90" i="18"/>
  <c r="L92" i="18" s="1"/>
  <c r="F5" i="16" s="1"/>
  <c r="I90" i="18"/>
  <c r="I92" i="18" s="1"/>
  <c r="C5" i="16" s="1"/>
  <c r="N90" i="18"/>
  <c r="N92" i="18" s="1"/>
  <c r="H5" i="16" s="1"/>
  <c r="D20" i="1"/>
  <c r="E20" i="1" s="1"/>
  <c r="AD11" i="1" s="1"/>
  <c r="D33" i="1"/>
  <c r="E33" i="1" s="1"/>
  <c r="D37" i="1"/>
  <c r="E37" i="1" s="1"/>
  <c r="AJ7" i="1" s="1"/>
  <c r="E48" i="1"/>
  <c r="E40" i="1"/>
  <c r="E45" i="1"/>
  <c r="Z6" i="1" s="1"/>
  <c r="E34" i="1"/>
  <c r="E29" i="1"/>
  <c r="E46" i="1"/>
  <c r="E35" i="1"/>
  <c r="E49" i="1"/>
  <c r="E24" i="1"/>
  <c r="E30" i="1"/>
  <c r="E18" i="1"/>
  <c r="E43" i="1"/>
  <c r="E27" i="1"/>
  <c r="AL9" i="1" s="1"/>
  <c r="E23" i="1"/>
  <c r="E31" i="1"/>
  <c r="E47" i="1"/>
  <c r="E42" i="1"/>
  <c r="E36" i="1"/>
  <c r="E44" i="1"/>
  <c r="E41" i="1"/>
  <c r="E32" i="1"/>
  <c r="AD8" i="1" s="1"/>
  <c r="E38" i="1"/>
  <c r="AL7" i="1" s="1"/>
  <c r="E26" i="1"/>
  <c r="AJ9" i="1" s="1"/>
  <c r="E25" i="1"/>
  <c r="E22" i="1"/>
  <c r="E21" i="1"/>
  <c r="E19" i="1"/>
  <c r="AB11" i="1" s="1"/>
  <c r="AB9" i="1" l="1"/>
  <c r="AH11" i="1"/>
  <c r="AF10" i="1"/>
  <c r="AF9" i="1"/>
  <c r="AL11" i="1"/>
  <c r="AJ10" i="1"/>
  <c r="AF5" i="1"/>
  <c r="AD5" i="1"/>
  <c r="AL10" i="1"/>
  <c r="AH9" i="1"/>
  <c r="Z4" i="1"/>
  <c r="AF4" i="1"/>
  <c r="AB4" i="1"/>
  <c r="AL4" i="1"/>
  <c r="AJ4" i="1"/>
  <c r="AH4" i="1"/>
  <c r="AD4" i="1"/>
  <c r="AB8" i="1"/>
  <c r="Z8" i="1"/>
  <c r="AJ8" i="1"/>
  <c r="AF7" i="1"/>
  <c r="AF8" i="1"/>
  <c r="AB7" i="1"/>
  <c r="Z7" i="1"/>
  <c r="AD6" i="1"/>
  <c r="AB5" i="1"/>
  <c r="AD9" i="1"/>
  <c r="AH10" i="1"/>
  <c r="AJ11" i="1"/>
  <c r="Z5" i="1"/>
  <c r="AB6" i="1"/>
  <c r="AB10" i="1"/>
  <c r="Z10" i="1"/>
  <c r="AD10" i="1"/>
  <c r="Z9" i="1"/>
  <c r="AF11" i="1"/>
  <c r="AL8" i="1"/>
  <c r="AH7" i="1"/>
  <c r="AH8" i="1"/>
  <c r="AD7" i="1"/>
  <c r="AH15" i="1" l="1"/>
  <c r="AJ15" i="1"/>
  <c r="AL15" i="1"/>
  <c r="AB15" i="1"/>
  <c r="AB22" i="1" s="1"/>
  <c r="AF15" i="1"/>
  <c r="AF22" i="1" s="1"/>
  <c r="Z15" i="1"/>
  <c r="AD15" i="1"/>
  <c r="H6" i="18" l="1"/>
  <c r="H6" i="9"/>
  <c r="N6" i="8"/>
  <c r="AL22" i="1"/>
  <c r="AL23" i="1" s="1"/>
  <c r="J6" i="8"/>
  <c r="AD22" i="1"/>
  <c r="AD23" i="1" s="1"/>
  <c r="H6" i="8"/>
  <c r="Z22" i="1"/>
  <c r="AB23" i="1" s="1"/>
  <c r="M6" i="8"/>
  <c r="AJ22" i="1"/>
  <c r="L6" i="8"/>
  <c r="AH22" i="1"/>
  <c r="AH23" i="1" s="1"/>
  <c r="I6" i="8"/>
  <c r="I7" i="8" s="1"/>
  <c r="K6" i="8"/>
  <c r="H7" i="9" l="1"/>
  <c r="B14" i="16"/>
  <c r="B12" i="16"/>
  <c r="B13" i="16"/>
  <c r="H7" i="18"/>
  <c r="B17" i="16"/>
  <c r="B18" i="16"/>
  <c r="B19" i="16"/>
  <c r="M7" i="8"/>
  <c r="M14" i="8" s="1"/>
  <c r="G24" i="16"/>
  <c r="H7" i="8"/>
  <c r="H14" i="8" s="1"/>
  <c r="H90" i="8" s="1"/>
  <c r="H92" i="8" s="1"/>
  <c r="B6" i="16" s="1"/>
  <c r="B24" i="16"/>
  <c r="K7" i="8"/>
  <c r="K20" i="8" s="1"/>
  <c r="E24" i="16"/>
  <c r="J7" i="8"/>
  <c r="D24" i="16"/>
  <c r="L7" i="8"/>
  <c r="F24" i="16"/>
  <c r="N7" i="8"/>
  <c r="H24" i="16"/>
  <c r="M20" i="8"/>
  <c r="AJ23" i="1"/>
  <c r="AF23" i="1"/>
  <c r="K14" i="8"/>
  <c r="H14" i="18" l="1"/>
  <c r="H90" i="18"/>
  <c r="H92" i="18" s="1"/>
  <c r="B5" i="16" s="1"/>
  <c r="H14" i="9"/>
  <c r="H90" i="9"/>
  <c r="H92" i="9" s="1"/>
  <c r="B4" i="16" s="1"/>
  <c r="J14" i="8"/>
  <c r="J20" i="8"/>
  <c r="N14" i="8"/>
  <c r="N20" i="8"/>
  <c r="L14" i="8"/>
  <c r="L20" i="8"/>
  <c r="I12" i="8" l="1"/>
  <c r="I20" i="8" s="1"/>
  <c r="I14" i="8"/>
  <c r="C24" i="16"/>
  <c r="I90" i="8" l="1"/>
  <c r="I92" i="8" s="1"/>
  <c r="C6" i="16" s="1"/>
  <c r="K90" i="8"/>
  <c r="J90" i="8"/>
  <c r="J92" i="8" l="1"/>
  <c r="D6" i="16" s="1"/>
  <c r="K92" i="8"/>
  <c r="E6" i="16" s="1"/>
  <c r="L90" i="8"/>
  <c r="M90" i="8" l="1"/>
  <c r="N90" i="8"/>
  <c r="L92" i="8"/>
  <c r="F6" i="16" s="1"/>
  <c r="N92" i="8" l="1"/>
  <c r="H6" i="16" s="1"/>
  <c r="M92" i="8"/>
  <c r="G6" i="16" s="1"/>
</calcChain>
</file>

<file path=xl/sharedStrings.xml><?xml version="1.0" encoding="utf-8"?>
<sst xmlns="http://schemas.openxmlformats.org/spreadsheetml/2006/main" count="1447" uniqueCount="291">
  <si>
    <t>Base Pay</t>
  </si>
  <si>
    <t>Base Salery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</si>
  <si>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</si>
  <si>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</si>
  <si>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</si>
  <si>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</si>
  <si>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</si>
  <si>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</si>
  <si>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</si>
  <si>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</si>
  <si>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</si>
  <si>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</si>
  <si>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Reg pay (2080 hrs)</t>
  </si>
  <si>
    <t>Reg OT pay (728 Hrs)</t>
  </si>
  <si>
    <t>Base OT Pay</t>
  </si>
  <si>
    <t>D/E Pay</t>
  </si>
  <si>
    <t>LT Pay</t>
  </si>
  <si>
    <t>Capt Pay</t>
  </si>
  <si>
    <t>x</t>
  </si>
  <si>
    <t>D/E</t>
  </si>
  <si>
    <t>LT</t>
  </si>
  <si>
    <t>Capt</t>
  </si>
  <si>
    <t>Total Cost Yr. 1</t>
  </si>
  <si>
    <t>Total Department:</t>
  </si>
  <si>
    <t>Starting Yr. 1</t>
  </si>
  <si>
    <t>Employees</t>
  </si>
  <si>
    <t>Fire Chief</t>
  </si>
  <si>
    <t>HR</t>
  </si>
  <si>
    <t>Pay Ranges</t>
  </si>
  <si>
    <t>Positions</t>
  </si>
  <si>
    <t>Holiday</t>
  </si>
  <si>
    <t>x = Step Added</t>
  </si>
  <si>
    <t>Health Benfits</t>
  </si>
  <si>
    <t>$575 Per Emp.</t>
  </si>
  <si>
    <t>Total Cost</t>
  </si>
  <si>
    <t>40 Hour WW Salary Pay Ranges for Full-Time Personnel</t>
  </si>
  <si>
    <t>Chief</t>
  </si>
  <si>
    <t>Vacation</t>
  </si>
  <si>
    <t>Start</t>
  </si>
  <si>
    <t>Sick</t>
  </si>
  <si>
    <t>Driver Engineer</t>
  </si>
  <si>
    <t>Totals</t>
  </si>
  <si>
    <t>Department:</t>
  </si>
  <si>
    <t>Key Largo Volunteer Fire Department</t>
  </si>
  <si>
    <t>CPI Escalation</t>
  </si>
  <si>
    <t>Exp Transaction Code</t>
  </si>
  <si>
    <t>(except as indicated below)</t>
  </si>
  <si>
    <t>Acct #</t>
  </si>
  <si>
    <t>Computation / Explanation</t>
  </si>
  <si>
    <t xml:space="preserve">Regular Salaries &amp; Wages: </t>
  </si>
  <si>
    <t>.02</t>
  </si>
  <si>
    <t>Fire/EMS Salaries (Certification Pay, Promotional Pay, Vaca., Sick, &amp; Holiday)</t>
  </si>
  <si>
    <t xml:space="preserve">  Firefighter @ </t>
  </si>
  <si>
    <t>Total Regular Salaries &amp; Wages</t>
  </si>
  <si>
    <r>
      <t>Volunteer Pay:</t>
    </r>
    <r>
      <rPr>
        <b/>
        <sz val="10"/>
        <rFont val="Arial"/>
        <family val="2"/>
      </rPr>
      <t xml:space="preserve"> </t>
    </r>
  </si>
  <si>
    <t>.01</t>
  </si>
  <si>
    <t>.03</t>
  </si>
  <si>
    <t xml:space="preserve">Volunteer firefighters (Station 24 and Station 25)  </t>
  </si>
  <si>
    <t>Total Volunteer Pay</t>
  </si>
  <si>
    <r>
      <t>Overtime wages</t>
    </r>
    <r>
      <rPr>
        <sz val="10"/>
        <color rgb="FFFF0000"/>
        <rFont val="Arial"/>
        <family val="2"/>
      </rPr>
      <t xml:space="preserve"> </t>
    </r>
  </si>
  <si>
    <t xml:space="preserve">Employer Payroll Taxes @ 7.65% of Pay  </t>
  </si>
  <si>
    <t>Employee Insurance Benefits</t>
  </si>
  <si>
    <t>Medical/Dental/Vision/Life Insurance for Full Time Employees</t>
  </si>
  <si>
    <t xml:space="preserve">Statutory AD&amp;D </t>
  </si>
  <si>
    <t>Total Insurance Benefits</t>
  </si>
  <si>
    <t xml:space="preserve">Worker's Compensation </t>
  </si>
  <si>
    <t xml:space="preserve">Unemployment Tax </t>
  </si>
  <si>
    <t>Professional Services:</t>
  </si>
  <si>
    <t>Grant Writing Services</t>
  </si>
  <si>
    <t>Firefighter Annual Physicals</t>
  </si>
  <si>
    <t>Background Checks, Drug Testing, Drivers License Checks</t>
  </si>
  <si>
    <t>Total Professional Services</t>
  </si>
  <si>
    <t>Legal Services (Requires District Board Approval)</t>
  </si>
  <si>
    <t>Accounting Fees</t>
  </si>
  <si>
    <t>Travel &amp; Per Diem - (Greater FL Fire School, Orlando Fire Conference, Seminars, etc.)</t>
  </si>
  <si>
    <t xml:space="preserve">Advertising </t>
  </si>
  <si>
    <t>Postage &amp; Freight</t>
  </si>
  <si>
    <t>Utilities</t>
  </si>
  <si>
    <t xml:space="preserve">Electric </t>
  </si>
  <si>
    <t xml:space="preserve">Water </t>
  </si>
  <si>
    <r>
      <t xml:space="preserve">Fire Hydrant Maintenance </t>
    </r>
    <r>
      <rPr>
        <sz val="9"/>
        <rFont val="Arial"/>
        <family val="2"/>
      </rPr>
      <t>@ $ 50 per hydrant - Hydrant's increased to 275 total in KL</t>
    </r>
  </si>
  <si>
    <t>.04</t>
  </si>
  <si>
    <t xml:space="preserve">Propane Gas </t>
  </si>
  <si>
    <t>.07</t>
  </si>
  <si>
    <r>
      <t>TV Service</t>
    </r>
    <r>
      <rPr>
        <sz val="10"/>
        <color rgb="FFFF0000"/>
        <rFont val="Arial"/>
        <family val="2"/>
      </rPr>
      <t xml:space="preserve"> </t>
    </r>
  </si>
  <si>
    <t>Total Utilities</t>
  </si>
  <si>
    <t xml:space="preserve">Rent &amp; Leases: </t>
  </si>
  <si>
    <r>
      <t>Station 24 Copier/Scanner/Fax  Lease</t>
    </r>
    <r>
      <rPr>
        <sz val="10"/>
        <color rgb="FFFF0000"/>
        <rFont val="Arial"/>
        <family val="2"/>
      </rPr>
      <t xml:space="preserve"> </t>
    </r>
  </si>
  <si>
    <t xml:space="preserve">Oxygen Tank Rental </t>
  </si>
  <si>
    <t>Annual Lease Payment - DEP Station 25 Property</t>
  </si>
  <si>
    <t xml:space="preserve">Red Alert NFRIS Incident Reporting Program Support and Maintenance &amp; SmartCop CAD </t>
  </si>
  <si>
    <t xml:space="preserve">Software - Fire Manager Scheduling and Time &amp; Attendance Software </t>
  </si>
  <si>
    <t>Total Rent &amp; Leases</t>
  </si>
  <si>
    <t xml:space="preserve">Risk Management </t>
  </si>
  <si>
    <r>
      <t>Package</t>
    </r>
    <r>
      <rPr>
        <sz val="9"/>
        <rFont val="Arial"/>
        <family val="2"/>
      </rPr>
      <t xml:space="preserve"> Policy</t>
    </r>
    <r>
      <rPr>
        <sz val="10"/>
        <rFont val="Arial"/>
        <family val="2"/>
      </rPr>
      <t xml:space="preserve"> (Property, General &amp; Mgmt. Liability, Portable Equip, Umbrella &amp; Auto) </t>
    </r>
  </si>
  <si>
    <t>Cancer Benefit Insurance (New FL Statue)</t>
  </si>
  <si>
    <t>Accident and Sickness</t>
  </si>
  <si>
    <t>Storage Tank Liability</t>
  </si>
  <si>
    <t>Total Risk Management</t>
  </si>
  <si>
    <t>Repair &amp; Maintenance: Equipment - Aerial Testing, Hose Testing, Pump Testing, Hydraulic Testing, SCBA Testing</t>
  </si>
  <si>
    <r>
      <t>Repair &amp; Maintenance: Buildings &amp; Grounds</t>
    </r>
    <r>
      <rPr>
        <b/>
        <sz val="10"/>
        <rFont val="Arial"/>
        <family val="2"/>
      </rPr>
      <t xml:space="preserve">  </t>
    </r>
  </si>
  <si>
    <t xml:space="preserve">Repair &amp; Maintenance: Vehicles </t>
  </si>
  <si>
    <r>
      <t>Printing and Binding</t>
    </r>
    <r>
      <rPr>
        <b/>
        <sz val="10"/>
        <rFont val="Arial"/>
        <family val="2"/>
      </rPr>
      <t xml:space="preserve"> </t>
    </r>
  </si>
  <si>
    <t>General Departmental: General Office &amp; Administrative Costs</t>
  </si>
  <si>
    <t>.05</t>
  </si>
  <si>
    <t>Other including Recruitment &amp; Retention</t>
  </si>
  <si>
    <t>.06</t>
  </si>
  <si>
    <t xml:space="preserve">Computer / IT Services </t>
  </si>
  <si>
    <t>Total General Departmental</t>
  </si>
  <si>
    <t xml:space="preserve">Training - Instructor Fees, Education, Student Text and Fire Prevention </t>
  </si>
  <si>
    <t>In-house training courses  (Outside/In-house instructors/vendors)  - Pump Ops, Officer Classes, Incident Command, EVOC, etc.</t>
  </si>
  <si>
    <t>Out of area training - Orlando Fire Expo, GFFS, Intercontinental Fire Academy, Seminars, etc.</t>
  </si>
  <si>
    <t xml:space="preserve">         Fire Prevention (KLVFD Only) - Fire Safety Demonstrations at School</t>
  </si>
  <si>
    <r>
      <t xml:space="preserve">Fire Prevention &amp; Safety Project </t>
    </r>
    <r>
      <rPr>
        <sz val="8"/>
        <rFont val="Arial"/>
        <family val="2"/>
      </rPr>
      <t>(grant funding anticipated, if grant is not received this can't be purchased)</t>
    </r>
  </si>
  <si>
    <t>Education &amp; Text Books</t>
  </si>
  <si>
    <r>
      <t xml:space="preserve">KAPLAN online education </t>
    </r>
    <r>
      <rPr>
        <sz val="9"/>
        <rFont val="Arial"/>
        <family val="2"/>
      </rPr>
      <t xml:space="preserve"> (60 firefighters) </t>
    </r>
  </si>
  <si>
    <t>Total Training</t>
  </si>
  <si>
    <t>Office Supplies &amp; 2 New Computers for Station 24</t>
  </si>
  <si>
    <t>Operating Supplies</t>
  </si>
  <si>
    <t xml:space="preserve">Fire Ground Safety (highway vests, cones, etc.) </t>
  </si>
  <si>
    <t>Daily Operating/Maintenance Supplies including small tools less then 1k (hoses, nozzles, saws, etc…)</t>
  </si>
  <si>
    <t>Operating Supplies (continued)</t>
  </si>
  <si>
    <t xml:space="preserve">Station Cleaning/Housekeeping Supplies </t>
  </si>
  <si>
    <t>Firefighting Gear -  (including helmets, gloves, hoods, boots, coat &amp; pants) 7 sets of Bunker Gear based on no longer usable &amp; new members</t>
  </si>
  <si>
    <t>Clothing, Apparel - Pants, extrication gloves, tee shirts, patches, etc.</t>
  </si>
  <si>
    <t>.08</t>
  </si>
  <si>
    <t>Fire fighting Foam or suppression agent</t>
  </si>
  <si>
    <t>Total Operating Supplies</t>
  </si>
  <si>
    <t>Fuel:  Gasoline (for portable equipment)</t>
  </si>
  <si>
    <t xml:space="preserve">Fuel:  Diesel </t>
  </si>
  <si>
    <r>
      <t>Dues, Subscriptions and Publications</t>
    </r>
    <r>
      <rPr>
        <sz val="8"/>
        <rFont val="Arial"/>
        <family val="2"/>
      </rPr>
      <t xml:space="preserve"> (email and security)</t>
    </r>
  </si>
  <si>
    <t>Upper Keys Honor Guard</t>
  </si>
  <si>
    <t>Uniform for 1 member</t>
  </si>
  <si>
    <r>
      <t>Flags/Poles/Pendants</t>
    </r>
    <r>
      <rPr>
        <sz val="10"/>
        <color rgb="FFFF0000"/>
        <rFont val="Arial"/>
        <family val="2"/>
      </rPr>
      <t xml:space="preserve"> </t>
    </r>
  </si>
  <si>
    <t xml:space="preserve">Training </t>
  </si>
  <si>
    <t xml:space="preserve">Travel </t>
  </si>
  <si>
    <t>Total Upper Keys Honor Guard</t>
  </si>
  <si>
    <t>Total Operating Budget</t>
  </si>
  <si>
    <t>Assistant Chief</t>
  </si>
  <si>
    <t>Medical Supplies &amp; Equipment (Includes NARCS)</t>
  </si>
  <si>
    <t xml:space="preserve">Volunteer firefighters (Station 23, 24, and Station 25)  </t>
  </si>
  <si>
    <t>Salaries Cost to District/Department</t>
  </si>
  <si>
    <t>28-Day PP (7k) Salary Pay Ranges for Full-Time Personnel</t>
  </si>
  <si>
    <t>Volunteers x 7</t>
  </si>
  <si>
    <t>Reg pay (2808 hrs)</t>
  </si>
  <si>
    <t>FY20/21</t>
  </si>
  <si>
    <t>FY21/22</t>
  </si>
  <si>
    <t>FY22/23</t>
  </si>
  <si>
    <t>FY23/24</t>
  </si>
  <si>
    <t>FY24/25</t>
  </si>
  <si>
    <t>FY26/27</t>
  </si>
  <si>
    <t>Corporation Lead FD &amp; EMS Full Budget (3 Stations)</t>
  </si>
  <si>
    <t>District Lead FD &amp; EMS Full Budget (2 Stations)</t>
  </si>
  <si>
    <t>FY25/26</t>
  </si>
  <si>
    <t>Option A Total Opertaing:</t>
  </si>
  <si>
    <t>Option B Total Opertaing:</t>
  </si>
  <si>
    <t>EMS</t>
  </si>
  <si>
    <t xml:space="preserve">Phones, Television &amp; Internet  (Station Phones, Air Cards) </t>
  </si>
  <si>
    <t>District Lead FD &amp; EMS Full Budget (3 Stations)</t>
  </si>
  <si>
    <t>Option C Total Opertaing:</t>
  </si>
  <si>
    <t>District Lead FD - 2 Stations</t>
  </si>
  <si>
    <t>District Lead FD - 3 Stations</t>
  </si>
  <si>
    <t>Corporation Lead FD - 3 Stations</t>
  </si>
  <si>
    <t>1 Capt. @ Maxed</t>
  </si>
  <si>
    <t>2 Lt. @ 4</t>
  </si>
  <si>
    <t>1 Lt. @ 4</t>
  </si>
  <si>
    <t>1 D/E @ 4</t>
  </si>
  <si>
    <t>3 D/E @ 2</t>
  </si>
  <si>
    <t>FD</t>
  </si>
  <si>
    <t>Totals:</t>
  </si>
  <si>
    <t>1 Lt. @ 5</t>
  </si>
  <si>
    <t>2 Lt. @ 3</t>
  </si>
  <si>
    <t>1 D/E @ 5</t>
  </si>
  <si>
    <t>3 D/E @ 3</t>
  </si>
  <si>
    <t>8 D/E @ 3</t>
  </si>
  <si>
    <t>3 Capt. @ Maxed</t>
  </si>
  <si>
    <t>1 Lt. @ 6</t>
  </si>
  <si>
    <t>1 D/E @ 6</t>
  </si>
  <si>
    <t>3 D/E @ 4</t>
  </si>
  <si>
    <t>3 D/E @ 5</t>
  </si>
  <si>
    <t>8 D/E @ 4</t>
  </si>
  <si>
    <t>1 Lt. @ 7</t>
  </si>
  <si>
    <t>2 Lt. @ 5</t>
  </si>
  <si>
    <t>1 D/E @ 7</t>
  </si>
  <si>
    <t>1 Lt. @ 8</t>
  </si>
  <si>
    <t>2 Lt. @ 6</t>
  </si>
  <si>
    <t>1 D/E @ 8</t>
  </si>
  <si>
    <t>8 D/E @ 6</t>
  </si>
  <si>
    <t>8 D/E @ 5</t>
  </si>
  <si>
    <t>2 Lt. @ 7</t>
  </si>
  <si>
    <t>1 D/E @ 9</t>
  </si>
  <si>
    <t>8 D/E @ 7</t>
  </si>
  <si>
    <t>1 Lt. @ 9</t>
  </si>
  <si>
    <t>2 Lt. @ 8</t>
  </si>
  <si>
    <t>1 D/E @ Maxed</t>
  </si>
  <si>
    <t>1 Lt. @ Maxed</t>
  </si>
  <si>
    <t>3 D/E @ 6</t>
  </si>
  <si>
    <t>3 D/E @ 7</t>
  </si>
  <si>
    <t>3 D/E @ 8</t>
  </si>
  <si>
    <t>Assit. Chief</t>
  </si>
  <si>
    <t>3 FT Lt. @ 1</t>
  </si>
  <si>
    <t>Admin</t>
  </si>
  <si>
    <t>Assist. Chief</t>
  </si>
  <si>
    <t>4% per year</t>
  </si>
  <si>
    <t>Fire Emp.</t>
  </si>
  <si>
    <t>EMS Emp.</t>
  </si>
  <si>
    <t>Reg OT pay (416 Hrs)</t>
  </si>
  <si>
    <t>FF/EMT</t>
  </si>
  <si>
    <t xml:space="preserve">Fire Lieutenant </t>
  </si>
  <si>
    <t xml:space="preserve">Fire Captain </t>
  </si>
  <si>
    <t>EMS Lieutenant</t>
  </si>
  <si>
    <t>EMS/LT</t>
  </si>
  <si>
    <t>Max Yr. 10</t>
  </si>
  <si>
    <t>Total Cost Yr. 10</t>
  </si>
  <si>
    <t>Medic</t>
  </si>
  <si>
    <t>3 FT Lt. @ 2</t>
  </si>
  <si>
    <t>3 FT Lt. @ 3</t>
  </si>
  <si>
    <t>3 FT Lt. @ 4</t>
  </si>
  <si>
    <t>3 FT Lt. @ 5</t>
  </si>
  <si>
    <t>9 FT  Medics @ 5</t>
  </si>
  <si>
    <t>3 FT Lt. @ 6</t>
  </si>
  <si>
    <t>9 FT  Medics @ 6</t>
  </si>
  <si>
    <t>3 FT Lt. @ 7</t>
  </si>
  <si>
    <t>9 FT  Medics @ 7</t>
  </si>
  <si>
    <t>Stipend</t>
  </si>
  <si>
    <t>All the below figures are total salaries per year per employee and also include, step plan, cert pay, officer incentive pay,  vacation pay, sick pay, and holiday pay.</t>
  </si>
  <si>
    <t>1 Capt. @ 7</t>
  </si>
  <si>
    <t>1 Capt. @ 6</t>
  </si>
  <si>
    <t>1 Capt. @ 8</t>
  </si>
  <si>
    <t>1 Capt. @ 9</t>
  </si>
  <si>
    <t>2 Capt. @ Maxed</t>
  </si>
  <si>
    <t>5 D/E @ 1</t>
  </si>
  <si>
    <t>2 FT  Medics @ 1</t>
  </si>
  <si>
    <t>4 FT  Medics @ 2</t>
  </si>
  <si>
    <t>6 FT  Medics @ 3</t>
  </si>
  <si>
    <t>8 FT  Medics @ 4</t>
  </si>
  <si>
    <t>7 D/E @ 2</t>
  </si>
  <si>
    <t xml:space="preserve">Part Time Medics =  </t>
  </si>
  <si>
    <t>Part Time Medics</t>
  </si>
  <si>
    <t>Rate of Pay</t>
  </si>
  <si>
    <t>Hours Per Week x 52</t>
  </si>
  <si>
    <t>Budget Options A, B, &amp; C Differences for Total Operating Budgets: Matched to Current Step Plan - Progression of Employees per year:</t>
  </si>
  <si>
    <t>EMS Billing Income</t>
  </si>
  <si>
    <t>Total Operating Budget Less EMS Billing</t>
  </si>
  <si>
    <t>HR &amp; Administrative Staff</t>
  </si>
  <si>
    <t>HR &amp; Admin Staff</t>
  </si>
  <si>
    <t>HR &amp; Admn Staff</t>
  </si>
  <si>
    <t>Retirement Plan  - See Budget Option A,B, &amp; C Difference Sheet for Retirement Plans Costs</t>
  </si>
  <si>
    <t>*If only capped per contract at 12%</t>
  </si>
  <si>
    <t>*FRS dept. match @ 19%</t>
  </si>
  <si>
    <t>*401(k) dept. match @ 8%</t>
  </si>
  <si>
    <t>Option A Retirement Costs:</t>
  </si>
  <si>
    <t>*Chapter 175 Pension Trust</t>
  </si>
  <si>
    <t>*FRS State Retirement Pension</t>
  </si>
  <si>
    <t>*Current 401(k) Package</t>
  </si>
  <si>
    <t>Option B Retirement Costs:</t>
  </si>
  <si>
    <t>Option C Retirement Costs:</t>
  </si>
  <si>
    <t>N/A</t>
  </si>
  <si>
    <t>Statutory AD&amp;D &amp; EAP</t>
  </si>
  <si>
    <t>Firefighter Annual Physicals &amp; Medical Director</t>
  </si>
  <si>
    <t>*lumped this section with Ems Budget together</t>
  </si>
  <si>
    <t>*Increased per year for whole budget</t>
  </si>
  <si>
    <t>FY22/23 increased insurance costs to $600 per ea. / FY25/26 increased insurance costs to $625 per ea.</t>
  </si>
  <si>
    <t>*Added 314 for Union Legal Fee's</t>
  </si>
  <si>
    <t>*lumped 121 with Ems Budget together</t>
  </si>
  <si>
    <t>*lumped 240 with Ems Budget together</t>
  </si>
  <si>
    <t>*lumped 250 with Ems Budget together</t>
  </si>
  <si>
    <t>*lumped 312 with Ems Budget together</t>
  </si>
  <si>
    <t xml:space="preserve">*Kept this in because if volunteers are not able to volunteer for the district there will need to be a 501C3 corp to handle reimbursement, taxes, etc. </t>
  </si>
  <si>
    <t>*lumped 400 with Ems Budget together</t>
  </si>
  <si>
    <t>*lumped 410 with Ems Budget together</t>
  </si>
  <si>
    <t>*lumped 411 with Ems Budget together</t>
  </si>
  <si>
    <t>*lumped 412 with Ems Budget together</t>
  </si>
  <si>
    <t>*lumped 430 with Ems Budget together</t>
  </si>
  <si>
    <t>*lumped 440 with Ems Budget together</t>
  </si>
  <si>
    <t>*lumped 450 with Ems Budget together</t>
  </si>
  <si>
    <t>*This was left tint he budget however, if the district takes over services there will need to be a 501C3 corp. to handle volunteer reimbursement, taxes etc.</t>
  </si>
  <si>
    <t>Daily Operating/Maintenance Supplies including small tools less then 1k (hoses, nozzles, saws, etc.…)</t>
  </si>
  <si>
    <t>FY20/21 - Removed Chief and Deputy Chief positions and added in HR position at EMS. FY21/22 - Added 2 HR positions @ 45k ea. with admin stipend for current staff assisting with HR until stipend phase out. FY22/23 thru FY26/27 - HR positions given 3% COLA</t>
  </si>
  <si>
    <t>*lumped 460 with Ems Budget together</t>
  </si>
  <si>
    <t>*lumped 461 with Ems Budget together</t>
  </si>
  <si>
    <t>*lumped 462 with Ems Budget together</t>
  </si>
  <si>
    <t>*lumped 470 with Ems Budget together</t>
  </si>
  <si>
    <t>*lumped 490 with Ems Budget together</t>
  </si>
  <si>
    <t>*lumped 491with Ems Budget together</t>
  </si>
  <si>
    <t>*lumped 520 with Ems Budget together</t>
  </si>
  <si>
    <t>*lumped 510 with Ems Budget together</t>
  </si>
  <si>
    <t>*lumped 521 with Ems Budget together</t>
  </si>
  <si>
    <t>*lumped 522 with Ems Budget together</t>
  </si>
  <si>
    <t>*lumped 540 with Ems Budget together</t>
  </si>
  <si>
    <t>*See A,B, &amp; C Differences sheet of retirement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</si>
</sst>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</cellStyleXfs>
  <cellXfs count="217">
    <xf numFmtId="0" fontId="0" fillId="0" borderId="0" xfId="0"/>
    <xf numFmtId="0" fontId="0" fillId="3" borderId="1" xfId="0" applyFill="1" applyBorder="1"/>
    <xf numFmtId="0" fontId="0" fillId="0" borderId="0" xfId="0" applyBorder="1"/>
    <xf numFmtId="0" fontId="0" fillId="3" borderId="0" xfId="0" applyFill="1" applyBorder="1"/>
    <xf numFmtId="44" fontId="0" fillId="3" borderId="1" xfId="0" applyNumberFormat="1" applyFill="1" applyBorder="1"/>
    <xf numFmtId="44" fontId="0" fillId="4" borderId="1" xfId="0" applyNumberFormat="1" applyFill="1" applyBorder="1"/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3" borderId="0" xfId="2" applyFont="1" applyFill="1" applyBorder="1"/>
    <xf numFmtId="0" fontId="4" fillId="3" borderId="1" xfId="2" applyFont="1" applyFill="1" applyBorder="1" applyAlignment="1">
      <alignment horizontal="center" vertical="center"/>
    </xf>
    <xf numFmtId="44" fontId="4" fillId="4" borderId="1" xfId="2" applyNumberFormat="1" applyFont="1" applyFill="1" applyBorder="1" applyAlignment="1">
      <alignment horizontal="center" vertical="center"/>
    </xf>
    <xf numFmtId="44" fontId="4" fillId="5" borderId="1" xfId="2" applyNumberFormat="1" applyFont="1" applyFill="1" applyBorder="1" applyAlignment="1">
      <alignment horizontal="center" vertical="center"/>
    </xf>
    <xf numFmtId="44" fontId="4" fillId="6" borderId="1" xfId="2" applyNumberFormat="1" applyFont="1" applyFill="1" applyBorder="1" applyAlignment="1">
      <alignment horizontal="center" vertical="center"/>
    </xf>
    <xf numFmtId="44" fontId="0" fillId="5" borderId="1" xfId="0" applyNumberFormat="1" applyFill="1" applyBorder="1"/>
    <xf numFmtId="44" fontId="0" fillId="6" borderId="1" xfId="0" applyNumberFormat="1" applyFill="1" applyBorder="1"/>
    <xf numFmtId="44" fontId="0" fillId="7" borderId="1" xfId="0" applyNumberFormat="1" applyFill="1" applyBorder="1"/>
    <xf numFmtId="0" fontId="0" fillId="6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3" fillId="8" borderId="1" xfId="0" applyFont="1" applyFill="1" applyBorder="1"/>
    <xf numFmtId="44" fontId="3" fillId="8" borderId="1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0" fillId="0" borderId="1" xfId="0" applyBorder="1"/>
    <xf numFmtId="0" fontId="0" fillId="3" borderId="10" xfId="0" applyFill="1" applyBorder="1"/>
    <xf numFmtId="0" fontId="3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44" fontId="0" fillId="9" borderId="1" xfId="0" applyNumberFormat="1" applyFill="1" applyBorder="1"/>
    <xf numFmtId="0" fontId="3" fillId="0" borderId="0" xfId="0" applyFont="1"/>
    <xf numFmtId="0" fontId="0" fillId="0" borderId="0" xfId="0" applyAlignment="1">
      <alignment horizontal="left"/>
    </xf>
    <xf numFmtId="44" fontId="4" fillId="9" borderId="1" xfId="2" applyNumberFormat="1" applyFont="1" applyFill="1" applyBorder="1" applyAlignment="1">
      <alignment horizontal="center" vertical="center"/>
    </xf>
    <xf numFmtId="44" fontId="3" fillId="9" borderId="1" xfId="1" applyFont="1" applyFill="1" applyBorder="1" applyAlignment="1">
      <alignment horizontal="center" vertical="center"/>
    </xf>
    <xf numFmtId="0" fontId="3" fillId="0" borderId="0" xfId="0" applyFont="1" applyFill="1" applyBorder="1"/>
    <xf numFmtId="44" fontId="4" fillId="9" borderId="1" xfId="0" applyNumberFormat="1" applyFont="1" applyFill="1" applyBorder="1"/>
    <xf numFmtId="44" fontId="4" fillId="4" borderId="1" xfId="0" applyNumberFormat="1" applyFont="1" applyFill="1" applyBorder="1"/>
    <xf numFmtId="44" fontId="4" fillId="5" borderId="1" xfId="0" applyNumberFormat="1" applyFont="1" applyFill="1" applyBorder="1"/>
    <xf numFmtId="44" fontId="4" fillId="6" borderId="1" xfId="0" applyNumberFormat="1" applyFont="1" applyFill="1" applyBorder="1"/>
    <xf numFmtId="0" fontId="3" fillId="10" borderId="1" xfId="0" applyFont="1" applyFill="1" applyBorder="1" applyAlignment="1">
      <alignment horizontal="center" vertical="center"/>
    </xf>
    <xf numFmtId="0" fontId="0" fillId="10" borderId="1" xfId="0" applyFill="1" applyBorder="1"/>
    <xf numFmtId="44" fontId="0" fillId="10" borderId="1" xfId="0" applyNumberFormat="1" applyFill="1" applyBorder="1"/>
    <xf numFmtId="44" fontId="3" fillId="10" borderId="1" xfId="0" applyNumberFormat="1" applyFont="1" applyFill="1" applyBorder="1"/>
    <xf numFmtId="0" fontId="0" fillId="7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8" fillId="0" borderId="0" xfId="3"/>
    <xf numFmtId="0" fontId="9" fillId="0" borderId="0" xfId="3" applyFont="1" applyAlignment="1">
      <alignment horizontal="right"/>
    </xf>
    <xf numFmtId="0" fontId="8" fillId="0" borderId="0" xfId="3" applyAlignment="1">
      <alignment horizontal="right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9" fontId="10" fillId="11" borderId="0" xfId="3" applyNumberFormat="1" applyFont="1" applyFill="1" applyAlignment="1">
      <alignment horizontal="left"/>
    </xf>
    <xf numFmtId="0" fontId="11" fillId="0" borderId="0" xfId="3" applyFont="1"/>
    <xf numFmtId="0" fontId="9" fillId="4" borderId="1" xfId="3" applyFont="1" applyFill="1" applyBorder="1" applyAlignment="1">
      <alignment horizontal="center" wrapText="1"/>
    </xf>
    <xf numFmtId="0" fontId="8" fillId="0" borderId="13" xfId="3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8" fillId="0" borderId="13" xfId="3" quotePrefix="1" applyBorder="1" applyAlignment="1">
      <alignment horizontal="center"/>
    </xf>
    <xf numFmtId="41" fontId="8" fillId="0" borderId="12" xfId="3" applyNumberFormat="1" applyBorder="1"/>
    <xf numFmtId="41" fontId="8" fillId="0" borderId="14" xfId="3" applyNumberFormat="1" applyBorder="1"/>
    <xf numFmtId="164" fontId="8" fillId="0" borderId="12" xfId="3" applyNumberFormat="1" applyBorder="1"/>
    <xf numFmtId="0" fontId="9" fillId="12" borderId="8" xfId="3" applyFont="1" applyFill="1" applyBorder="1" applyAlignment="1">
      <alignment horizontal="center"/>
    </xf>
    <xf numFmtId="41" fontId="8" fillId="13" borderId="15" xfId="3" applyNumberFormat="1" applyFill="1" applyBorder="1"/>
    <xf numFmtId="43" fontId="8" fillId="0" borderId="0" xfId="3" applyNumberFormat="1"/>
    <xf numFmtId="41" fontId="8" fillId="0" borderId="3" xfId="3" applyNumberFormat="1" applyBorder="1"/>
    <xf numFmtId="41" fontId="8" fillId="0" borderId="0" xfId="3" applyNumberFormat="1"/>
    <xf numFmtId="41" fontId="8" fillId="14" borderId="12" xfId="3" applyNumberFormat="1" applyFill="1" applyBorder="1"/>
    <xf numFmtId="41" fontId="8" fillId="14" borderId="14" xfId="3" applyNumberFormat="1" applyFill="1" applyBorder="1"/>
    <xf numFmtId="0" fontId="8" fillId="0" borderId="6" xfId="3" applyBorder="1" applyAlignment="1">
      <alignment horizontal="center"/>
    </xf>
    <xf numFmtId="41" fontId="8" fillId="0" borderId="4" xfId="3" applyNumberFormat="1" applyBorder="1"/>
    <xf numFmtId="0" fontId="8" fillId="0" borderId="10" xfId="3" applyBorder="1" applyAlignment="1">
      <alignment horizontal="center"/>
    </xf>
    <xf numFmtId="41" fontId="8" fillId="0" borderId="1" xfId="3" applyNumberFormat="1" applyBorder="1"/>
    <xf numFmtId="41" fontId="8" fillId="0" borderId="3" xfId="3" applyNumberFormat="1" applyBorder="1" applyAlignment="1">
      <alignment horizontal="center"/>
    </xf>
    <xf numFmtId="41" fontId="8" fillId="13" borderId="8" xfId="3" applyNumberFormat="1" applyFill="1" applyBorder="1"/>
    <xf numFmtId="41" fontId="8" fillId="0" borderId="1" xfId="3" applyNumberFormat="1" applyBorder="1" applyAlignment="1">
      <alignment horizontal="right"/>
    </xf>
    <xf numFmtId="0" fontId="8" fillId="0" borderId="8" xfId="3" applyBorder="1" applyAlignment="1">
      <alignment horizontal="center"/>
    </xf>
    <xf numFmtId="41" fontId="8" fillId="0" borderId="12" xfId="3" applyNumberFormat="1" applyBorder="1" applyAlignment="1">
      <alignment horizontal="center"/>
    </xf>
    <xf numFmtId="41" fontId="8" fillId="0" borderId="14" xfId="3" applyNumberFormat="1" applyBorder="1" applyAlignment="1">
      <alignment horizontal="center"/>
    </xf>
    <xf numFmtId="41" fontId="8" fillId="0" borderId="13" xfId="3" applyNumberFormat="1" applyBorder="1" applyAlignment="1">
      <alignment horizontal="center"/>
    </xf>
    <xf numFmtId="41" fontId="8" fillId="0" borderId="13" xfId="3" applyNumberFormat="1" applyBorder="1"/>
    <xf numFmtId="41" fontId="8" fillId="0" borderId="1" xfId="3" applyNumberFormat="1" applyBorder="1" applyAlignment="1">
      <alignment horizontal="center"/>
    </xf>
    <xf numFmtId="41" fontId="8" fillId="3" borderId="1" xfId="3" applyNumberFormat="1" applyFill="1" applyBorder="1" applyAlignment="1">
      <alignment horizontal="right"/>
    </xf>
    <xf numFmtId="41" fontId="8" fillId="3" borderId="12" xfId="3" applyNumberFormat="1" applyFill="1" applyBorder="1"/>
    <xf numFmtId="41" fontId="8" fillId="13" borderId="9" xfId="3" applyNumberFormat="1" applyFill="1" applyBorder="1"/>
    <xf numFmtId="0" fontId="8" fillId="0" borderId="0" xfId="3" quotePrefix="1" applyAlignment="1">
      <alignment horizontal="center"/>
    </xf>
    <xf numFmtId="41" fontId="8" fillId="15" borderId="12" xfId="3" applyNumberFormat="1" applyFill="1" applyBorder="1"/>
    <xf numFmtId="41" fontId="8" fillId="16" borderId="13" xfId="3" applyNumberFormat="1" applyFill="1" applyBorder="1"/>
    <xf numFmtId="0" fontId="8" fillId="15" borderId="13" xfId="3" quotePrefix="1" applyFill="1" applyBorder="1" applyAlignment="1">
      <alignment horizontal="center"/>
    </xf>
    <xf numFmtId="41" fontId="8" fillId="3" borderId="1" xfId="3" applyNumberFormat="1" applyFill="1" applyBorder="1"/>
    <xf numFmtId="0" fontId="8" fillId="0" borderId="7" xfId="3" applyBorder="1"/>
    <xf numFmtId="0" fontId="9" fillId="0" borderId="7" xfId="3" applyFont="1" applyBorder="1"/>
    <xf numFmtId="42" fontId="9" fillId="0" borderId="7" xfId="3" applyNumberFormat="1" applyFont="1" applyBorder="1"/>
    <xf numFmtId="165" fontId="9" fillId="0" borderId="0" xfId="1" applyNumberFormat="1" applyFont="1" applyFill="1" applyBorder="1"/>
    <xf numFmtId="41" fontId="16" fillId="0" borderId="0" xfId="3" applyNumberFormat="1" applyFont="1"/>
    <xf numFmtId="41" fontId="17" fillId="0" borderId="0" xfId="3" applyNumberFormat="1" applyFont="1"/>
    <xf numFmtId="44" fontId="8" fillId="0" borderId="0" xfId="3" applyNumberFormat="1"/>
    <xf numFmtId="0" fontId="0" fillId="0" borderId="13" xfId="0" applyBorder="1"/>
    <xf numFmtId="0" fontId="8" fillId="0" borderId="13" xfId="3" applyBorder="1" applyAlignment="1">
      <alignment horizontal="center"/>
    </xf>
    <xf numFmtId="0" fontId="8" fillId="0" borderId="0" xfId="3" applyAlignment="1">
      <alignment vertical="center"/>
    </xf>
    <xf numFmtId="44" fontId="0" fillId="0" borderId="12" xfId="0" applyNumberFormat="1" applyBorder="1"/>
    <xf numFmtId="0" fontId="0" fillId="0" borderId="12" xfId="0" applyBorder="1"/>
    <xf numFmtId="0" fontId="3" fillId="0" borderId="1" xfId="0" applyFont="1" applyBorder="1" applyAlignment="1">
      <alignment horizontal="center"/>
    </xf>
    <xf numFmtId="0" fontId="0" fillId="3" borderId="12" xfId="0" applyFill="1" applyBorder="1"/>
    <xf numFmtId="0" fontId="0" fillId="0" borderId="15" xfId="0" applyBorder="1"/>
    <xf numFmtId="44" fontId="0" fillId="0" borderId="15" xfId="0" applyNumberFormat="1" applyBorder="1"/>
    <xf numFmtId="0" fontId="0" fillId="0" borderId="6" xfId="0" applyFill="1" applyBorder="1"/>
    <xf numFmtId="44" fontId="0" fillId="0" borderId="3" xfId="0" applyNumberFormat="1" applyBorder="1"/>
    <xf numFmtId="0" fontId="0" fillId="0" borderId="12" xfId="0" applyFill="1" applyBorder="1"/>
    <xf numFmtId="0" fontId="3" fillId="3" borderId="1" xfId="0" applyFont="1" applyFill="1" applyBorder="1"/>
    <xf numFmtId="44" fontId="0" fillId="17" borderId="1" xfId="0" applyNumberFormat="1" applyFill="1" applyBorder="1"/>
    <xf numFmtId="44" fontId="4" fillId="17" borderId="1" xfId="2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44" fontId="3" fillId="17" borderId="1" xfId="1" applyFont="1" applyFill="1" applyBorder="1" applyAlignment="1">
      <alignment horizontal="center" vertical="center"/>
    </xf>
    <xf numFmtId="44" fontId="0" fillId="18" borderId="1" xfId="0" applyNumberFormat="1" applyFill="1" applyBorder="1"/>
    <xf numFmtId="44" fontId="4" fillId="18" borderId="1" xfId="2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44" fontId="3" fillId="18" borderId="1" xfId="0" applyNumberFormat="1" applyFont="1" applyFill="1" applyBorder="1" applyAlignment="1">
      <alignment horizontal="center" vertical="center"/>
    </xf>
    <xf numFmtId="44" fontId="4" fillId="17" borderId="1" xfId="0" applyNumberFormat="1" applyFont="1" applyFill="1" applyBorder="1"/>
    <xf numFmtId="44" fontId="4" fillId="18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17" borderId="1" xfId="0" applyFill="1" applyBorder="1"/>
    <xf numFmtId="44" fontId="0" fillId="17" borderId="10" xfId="0" applyNumberFormat="1" applyFill="1" applyBorder="1"/>
    <xf numFmtId="0" fontId="0" fillId="18" borderId="1" xfId="0" applyFill="1" applyBorder="1"/>
    <xf numFmtId="0" fontId="3" fillId="0" borderId="0" xfId="0" applyFont="1" applyAlignment="1">
      <alignment horizontal="center"/>
    </xf>
    <xf numFmtId="0" fontId="0" fillId="3" borderId="3" xfId="0" applyFill="1" applyBorder="1"/>
    <xf numFmtId="0" fontId="0" fillId="4" borderId="12" xfId="0" applyFill="1" applyBorder="1"/>
    <xf numFmtId="44" fontId="0" fillId="4" borderId="13" xfId="0" applyNumberFormat="1" applyFill="1" applyBorder="1"/>
    <xf numFmtId="0" fontId="0" fillId="4" borderId="13" xfId="0" applyFill="1" applyBorder="1"/>
    <xf numFmtId="0" fontId="0" fillId="4" borderId="15" xfId="0" applyFill="1" applyBorder="1"/>
    <xf numFmtId="44" fontId="0" fillId="4" borderId="8" xfId="0" applyNumberFormat="1" applyFill="1" applyBorder="1"/>
    <xf numFmtId="0" fontId="3" fillId="4" borderId="1" xfId="0" applyFont="1" applyFill="1" applyBorder="1" applyAlignment="1">
      <alignment horizontal="center"/>
    </xf>
    <xf numFmtId="0" fontId="0" fillId="4" borderId="6" xfId="0" applyFill="1" applyBorder="1"/>
    <xf numFmtId="44" fontId="0" fillId="4" borderId="3" xfId="0" applyNumberFormat="1" applyFill="1" applyBorder="1"/>
    <xf numFmtId="44" fontId="0" fillId="4" borderId="12" xfId="0" applyNumberFormat="1" applyFill="1" applyBorder="1"/>
    <xf numFmtId="44" fontId="0" fillId="4" borderId="15" xfId="0" applyNumberFormat="1" applyFill="1" applyBorder="1"/>
    <xf numFmtId="0" fontId="0" fillId="4" borderId="3" xfId="0" applyFill="1" applyBorder="1"/>
    <xf numFmtId="0" fontId="0" fillId="3" borderId="15" xfId="0" applyFill="1" applyBorder="1"/>
    <xf numFmtId="44" fontId="3" fillId="3" borderId="1" xfId="0" applyNumberFormat="1" applyFont="1" applyFill="1" applyBorder="1"/>
    <xf numFmtId="44" fontId="3" fillId="4" borderId="1" xfId="0" applyNumberFormat="1" applyFont="1" applyFill="1" applyBorder="1"/>
    <xf numFmtId="0" fontId="3" fillId="4" borderId="3" xfId="0" applyFont="1" applyFill="1" applyBorder="1" applyAlignment="1">
      <alignment horizontal="center"/>
    </xf>
    <xf numFmtId="44" fontId="3" fillId="4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44" fontId="3" fillId="3" borderId="3" xfId="0" applyNumberFormat="1" applyFont="1" applyFill="1" applyBorder="1"/>
    <xf numFmtId="0" fontId="3" fillId="4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4" fontId="3" fillId="3" borderId="11" xfId="0" applyNumberFormat="1" applyFont="1" applyFill="1" applyBorder="1"/>
    <xf numFmtId="0" fontId="0" fillId="3" borderId="11" xfId="0" applyFill="1" applyBorder="1"/>
    <xf numFmtId="44" fontId="0" fillId="3" borderId="11" xfId="0" applyNumberFormat="1" applyFill="1" applyBorder="1"/>
    <xf numFmtId="2" fontId="0" fillId="0" borderId="0" xfId="0" applyNumberFormat="1" applyBorder="1"/>
    <xf numFmtId="0" fontId="0" fillId="0" borderId="0" xfId="0" applyAlignment="1">
      <alignment horizontal="right"/>
    </xf>
    <xf numFmtId="7" fontId="0" fillId="0" borderId="0" xfId="0" applyNumberFormat="1" applyAlignment="1">
      <alignment horizontal="center"/>
    </xf>
    <xf numFmtId="0" fontId="3" fillId="4" borderId="0" xfId="0" applyFont="1" applyFill="1"/>
    <xf numFmtId="0" fontId="0" fillId="4" borderId="0" xfId="0" applyFill="1"/>
    <xf numFmtId="44" fontId="0" fillId="4" borderId="15" xfId="0" applyNumberFormat="1" applyFont="1" applyFill="1" applyBorder="1"/>
    <xf numFmtId="0" fontId="0" fillId="4" borderId="15" xfId="0" applyFill="1" applyBorder="1" applyAlignment="1">
      <alignment horizontal="center"/>
    </xf>
    <xf numFmtId="44" fontId="0" fillId="0" borderId="0" xfId="0" applyNumberFormat="1"/>
    <xf numFmtId="0" fontId="20" fillId="0" borderId="0" xfId="3" applyFont="1" applyAlignment="1">
      <alignment horizontal="right"/>
    </xf>
    <xf numFmtId="42" fontId="13" fillId="0" borderId="0" xfId="3" applyNumberFormat="1" applyFont="1"/>
    <xf numFmtId="42" fontId="9" fillId="0" borderId="0" xfId="3" applyNumberFormat="1" applyFont="1"/>
    <xf numFmtId="0" fontId="21" fillId="0" borderId="0" xfId="0" applyFont="1"/>
    <xf numFmtId="41" fontId="0" fillId="0" borderId="0" xfId="0" applyNumberFormat="1" applyBorder="1"/>
    <xf numFmtId="41" fontId="0" fillId="0" borderId="5" xfId="0" applyNumberForma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4" xfId="0" applyBorder="1"/>
    <xf numFmtId="0" fontId="22" fillId="0" borderId="13" xfId="0" applyFont="1" applyBorder="1"/>
    <xf numFmtId="0" fontId="0" fillId="0" borderId="14" xfId="0" applyBorder="1"/>
    <xf numFmtId="0" fontId="22" fillId="0" borderId="8" xfId="0" applyFont="1" applyBorder="1"/>
    <xf numFmtId="0" fontId="0" fillId="0" borderId="9" xfId="0" applyBorder="1"/>
    <xf numFmtId="41" fontId="0" fillId="0" borderId="0" xfId="0" applyNumberFormat="1" applyBorder="1" applyAlignment="1">
      <alignment horizontal="right"/>
    </xf>
    <xf numFmtId="41" fontId="0" fillId="4" borderId="12" xfId="0" applyNumberFormat="1" applyFill="1" applyBorder="1"/>
    <xf numFmtId="0" fontId="19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8" fillId="0" borderId="0" xfId="3" applyAlignment="1">
      <alignment horizontal="left" wrapText="1" indent="3"/>
    </xf>
    <xf numFmtId="0" fontId="8" fillId="0" borderId="14" xfId="3" applyBorder="1" applyAlignment="1">
      <alignment horizontal="left" wrapText="1" indent="3"/>
    </xf>
    <xf numFmtId="0" fontId="12" fillId="13" borderId="5" xfId="3" applyFont="1" applyFill="1" applyBorder="1" applyAlignment="1">
      <alignment horizontal="right"/>
    </xf>
    <xf numFmtId="0" fontId="12" fillId="13" borderId="9" xfId="3" applyFont="1" applyFill="1" applyBorder="1" applyAlignment="1">
      <alignment horizontal="right"/>
    </xf>
    <xf numFmtId="0" fontId="18" fillId="0" borderId="0" xfId="3" applyFont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8" fillId="0" borderId="11" xfId="3" applyBorder="1" applyAlignment="1">
      <alignment wrapText="1"/>
    </xf>
    <xf numFmtId="0" fontId="8" fillId="3" borderId="11" xfId="3" applyFill="1" applyBorder="1" applyAlignment="1">
      <alignment wrapText="1"/>
    </xf>
    <xf numFmtId="0" fontId="8" fillId="0" borderId="7" xfId="3" applyBorder="1" applyAlignment="1">
      <alignment wrapText="1"/>
    </xf>
    <xf numFmtId="0" fontId="8" fillId="0" borderId="0" xfId="3" applyAlignment="1">
      <alignment horizontal="left" wrapText="1"/>
    </xf>
    <xf numFmtId="0" fontId="8" fillId="0" borderId="13" xfId="3" applyBorder="1" applyAlignment="1">
      <alignment horizontal="left" wrapText="1" indent="3"/>
    </xf>
    <xf numFmtId="0" fontId="8" fillId="0" borderId="0" xfId="3" applyAlignment="1">
      <alignment wrapText="1"/>
    </xf>
    <xf numFmtId="0" fontId="8" fillId="0" borderId="5" xfId="3" applyBorder="1" applyAlignment="1">
      <alignment wrapText="1"/>
    </xf>
    <xf numFmtId="0" fontId="9" fillId="4" borderId="2" xfId="3" applyFont="1" applyFill="1" applyBorder="1" applyAlignment="1">
      <alignment horizontal="center"/>
    </xf>
    <xf numFmtId="0" fontId="9" fillId="4" borderId="1" xfId="3" applyFont="1" applyFill="1" applyBorder="1" applyAlignment="1">
      <alignment horizontal="center"/>
    </xf>
  </cellXfs>
  <cellStyles count="4">
    <cellStyle name="Currency" xfId="1" builtinId="4"/>
    <cellStyle name="Good" xfId="2" builtinId="26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5"/>
  <sheetViews>
    <sheetView zoomScale="75" zoomScaleNormal="75" workbookViewId="0">
      <selection activeCell="J11" sqref="A11:J11"/>
    </sheetView>
  </sheetViews>
  <sheetFormatPr defaultRowHeight="15" x14ac:dyDescent="0.25"/>
  <cols>
    <col min="1" max="1" width="12.140625" style="2" customWidth="1"/>
    <col min="2" max="2" width="16.28515625" style="2" customWidth="1"/>
    <col min="3" max="3" width="18" style="2" customWidth="1"/>
    <col min="4" max="4" width="20.5703125" style="2" customWidth="1"/>
    <col min="5" max="5" width="12.85546875" style="14" customWidth="1"/>
    <col min="6" max="7" width="7.7109375" style="3" customWidth="1"/>
    <col min="8" max="8" width="7.85546875" style="3" customWidth="1"/>
    <col min="9" max="15" width="7.7109375" style="3" customWidth="1"/>
    <col min="16" max="16" width="7.85546875" style="2" customWidth="1"/>
    <col min="17" max="17" width="7.7109375" style="2" customWidth="1"/>
    <col min="18" max="18" width="7.85546875" style="2" customWidth="1"/>
    <col min="19" max="19" width="12.140625" customWidth="1"/>
    <col min="20" max="20" width="18.140625" customWidth="1"/>
    <col min="21" max="21" width="22" customWidth="1"/>
    <col min="22" max="22" width="17.5703125" customWidth="1"/>
    <col min="23" max="23" width="15.140625" customWidth="1"/>
    <col min="24" max="24" width="14.7109375" customWidth="1"/>
    <col min="25" max="25" width="16.85546875" customWidth="1"/>
    <col min="26" max="26" width="19.85546875" customWidth="1"/>
    <col min="27" max="27" width="17.42578125" style="36" customWidth="1"/>
    <col min="28" max="28" width="17" customWidth="1"/>
    <col min="29" max="29" width="19.42578125" customWidth="1"/>
    <col min="30" max="30" width="15.42578125" customWidth="1"/>
    <col min="31" max="31" width="20.5703125" customWidth="1"/>
    <col min="32" max="32" width="16" customWidth="1"/>
    <col min="33" max="33" width="19" customWidth="1"/>
    <col min="34" max="34" width="16.42578125" customWidth="1"/>
    <col min="35" max="35" width="19.42578125" customWidth="1"/>
    <col min="36" max="36" width="16.28515625" customWidth="1"/>
    <col min="37" max="37" width="18.140625" customWidth="1"/>
    <col min="38" max="38" width="16.85546875" customWidth="1"/>
  </cols>
  <sheetData>
    <row r="1" spans="1:38" x14ac:dyDescent="0.25">
      <c r="A1" s="184" t="s">
        <v>35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6"/>
      <c r="T1" s="190" t="s">
        <v>141</v>
      </c>
      <c r="U1" s="191"/>
      <c r="V1" s="192"/>
      <c r="AA1"/>
    </row>
    <row r="2" spans="1:38" ht="15.75" x14ac:dyDescent="0.25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9"/>
      <c r="T2" s="193"/>
      <c r="U2" s="194"/>
      <c r="V2" s="195"/>
      <c r="Y2" s="183" t="s">
        <v>225</v>
      </c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</row>
    <row r="3" spans="1:38" ht="14.45" x14ac:dyDescent="0.3">
      <c r="A3" s="1" t="s">
        <v>0</v>
      </c>
      <c r="B3" s="1" t="s">
        <v>14</v>
      </c>
      <c r="C3" s="1" t="s">
        <v>12</v>
      </c>
      <c r="D3" s="1" t="s">
        <v>13</v>
      </c>
      <c r="E3" s="15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15</v>
      </c>
      <c r="Q3" s="6" t="s">
        <v>16</v>
      </c>
      <c r="R3" s="6" t="s">
        <v>17</v>
      </c>
      <c r="T3" s="6" t="s">
        <v>29</v>
      </c>
      <c r="U3" s="6" t="s">
        <v>28</v>
      </c>
      <c r="V3" s="6" t="s">
        <v>28</v>
      </c>
      <c r="W3" s="44" t="s">
        <v>32</v>
      </c>
      <c r="Y3" s="9" t="s">
        <v>168</v>
      </c>
      <c r="Z3" s="139" t="s">
        <v>145</v>
      </c>
      <c r="AA3" s="6" t="s">
        <v>168</v>
      </c>
      <c r="AB3" s="110" t="s">
        <v>146</v>
      </c>
      <c r="AC3" s="9" t="s">
        <v>168</v>
      </c>
      <c r="AD3" s="139" t="s">
        <v>147</v>
      </c>
      <c r="AE3" s="6" t="s">
        <v>168</v>
      </c>
      <c r="AF3" s="110" t="s">
        <v>148</v>
      </c>
      <c r="AG3" s="9" t="s">
        <v>168</v>
      </c>
      <c r="AH3" s="139" t="s">
        <v>149</v>
      </c>
      <c r="AI3" s="6" t="s">
        <v>168</v>
      </c>
      <c r="AJ3" s="110" t="s">
        <v>153</v>
      </c>
      <c r="AK3" s="9" t="s">
        <v>168</v>
      </c>
      <c r="AL3" s="139" t="s">
        <v>150</v>
      </c>
    </row>
    <row r="4" spans="1:38" ht="14.45" x14ac:dyDescent="0.3">
      <c r="A4" s="1"/>
      <c r="B4" s="1"/>
      <c r="C4" s="1"/>
      <c r="D4" s="1"/>
      <c r="E4" s="15"/>
      <c r="F4" s="7">
        <v>0.5</v>
      </c>
      <c r="G4" s="7">
        <v>1.25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7">
        <v>7</v>
      </c>
      <c r="N4" s="7">
        <v>8</v>
      </c>
      <c r="O4" s="7">
        <v>9</v>
      </c>
      <c r="P4" s="8">
        <v>0.04</v>
      </c>
      <c r="Q4" s="8">
        <v>0.1</v>
      </c>
      <c r="R4" s="8">
        <v>0.1</v>
      </c>
      <c r="S4" s="53" t="s">
        <v>25</v>
      </c>
      <c r="T4" s="1"/>
      <c r="U4" s="1" t="s">
        <v>24</v>
      </c>
      <c r="V4" s="31" t="s">
        <v>212</v>
      </c>
      <c r="W4" s="45" t="s">
        <v>33</v>
      </c>
      <c r="Y4" s="134" t="s">
        <v>163</v>
      </c>
      <c r="Z4" s="135">
        <f>SUM(E49+X76)</f>
        <v>98021.305600000007</v>
      </c>
      <c r="AA4" s="133" t="s">
        <v>163</v>
      </c>
      <c r="AB4" s="115">
        <f>SUM(E49+X76)</f>
        <v>98021.305600000007</v>
      </c>
      <c r="AC4" s="144" t="s">
        <v>163</v>
      </c>
      <c r="AD4" s="141">
        <f>SUM(E49+X76)</f>
        <v>98021.305600000007</v>
      </c>
      <c r="AE4" s="133" t="s">
        <v>230</v>
      </c>
      <c r="AF4" s="115">
        <f>SUM(E49*2+X76*2)</f>
        <v>196042.61120000001</v>
      </c>
      <c r="AG4" s="144" t="s">
        <v>175</v>
      </c>
      <c r="AH4" s="141">
        <f>SUM(E49*3+X76*3)</f>
        <v>294063.91680000001</v>
      </c>
      <c r="AI4" s="133" t="s">
        <v>175</v>
      </c>
      <c r="AJ4" s="115">
        <f>SUM(E49*3+X76*3)</f>
        <v>294063.91680000001</v>
      </c>
      <c r="AK4" s="144" t="s">
        <v>175</v>
      </c>
      <c r="AL4" s="141">
        <f>SUM(E49*3+X76*3)</f>
        <v>294063.91680000001</v>
      </c>
    </row>
    <row r="5" spans="1:38" ht="14.45" x14ac:dyDescent="0.3">
      <c r="A5" s="117" t="s">
        <v>204</v>
      </c>
      <c r="B5" s="1"/>
      <c r="C5" s="1"/>
      <c r="D5" s="1"/>
      <c r="E5" s="15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48"/>
      <c r="T5" s="1"/>
      <c r="U5" s="1"/>
      <c r="V5" s="31"/>
      <c r="W5" s="45"/>
      <c r="Y5" s="134" t="s">
        <v>226</v>
      </c>
      <c r="Z5" s="135">
        <f>SUM(E46+X73)</f>
        <v>84822.745600000009</v>
      </c>
      <c r="AA5" s="109" t="s">
        <v>228</v>
      </c>
      <c r="AB5" s="108">
        <f>SUM(E47+X74)</f>
        <v>89222.265600000013</v>
      </c>
      <c r="AC5" s="134" t="s">
        <v>229</v>
      </c>
      <c r="AD5" s="142">
        <f>SUM(E48+X75)</f>
        <v>93621.785599999988</v>
      </c>
      <c r="AE5" s="109" t="s">
        <v>229</v>
      </c>
      <c r="AF5" s="108">
        <f>SUM(E48+X75)</f>
        <v>93621.785599999988</v>
      </c>
      <c r="AG5" s="134"/>
      <c r="AH5" s="142"/>
      <c r="AI5" s="109"/>
      <c r="AJ5" s="108"/>
      <c r="AK5" s="134"/>
      <c r="AL5" s="142"/>
    </row>
    <row r="6" spans="1:38" ht="14.45" x14ac:dyDescent="0.3">
      <c r="A6" s="21">
        <v>13.28</v>
      </c>
      <c r="B6" s="34">
        <f t="shared" ref="B6:B49" si="0">(A6)*1.5</f>
        <v>19.919999999999998</v>
      </c>
      <c r="C6" s="34">
        <f t="shared" ref="C6:C49" si="1">(A6)*2080</f>
        <v>27622.399999999998</v>
      </c>
      <c r="D6" s="34">
        <f t="shared" ref="D6:D49" si="2">(B6)*728</f>
        <v>14501.759999999998</v>
      </c>
      <c r="E6" s="37">
        <f t="shared" ref="E6:E16" si="3">SUM(C6:D6)</f>
        <v>42124.159999999996</v>
      </c>
      <c r="F6" s="32"/>
      <c r="G6" s="32"/>
      <c r="H6" s="32"/>
      <c r="I6" s="32"/>
      <c r="J6" s="32"/>
      <c r="K6" s="196" t="s">
        <v>31</v>
      </c>
      <c r="L6" s="197"/>
      <c r="M6" s="198"/>
      <c r="N6" s="32"/>
      <c r="O6" s="32"/>
      <c r="P6" s="6"/>
      <c r="Q6" s="6"/>
      <c r="R6" s="6"/>
      <c r="S6" s="48">
        <v>9</v>
      </c>
      <c r="T6" s="129" t="s">
        <v>214</v>
      </c>
      <c r="U6" s="118">
        <f>SUM(E55)</f>
        <v>40560</v>
      </c>
      <c r="V6" s="130">
        <f>SUM(E65)</f>
        <v>64896</v>
      </c>
      <c r="W6" s="46">
        <v>575</v>
      </c>
      <c r="Y6" s="134" t="s">
        <v>227</v>
      </c>
      <c r="Z6" s="135">
        <f>SUM(E45+X72)</f>
        <v>80423.225600000005</v>
      </c>
      <c r="AA6" s="109" t="s">
        <v>226</v>
      </c>
      <c r="AB6" s="108">
        <f>SUM(E46+X73)</f>
        <v>84822.745600000009</v>
      </c>
      <c r="AC6" s="134" t="s">
        <v>228</v>
      </c>
      <c r="AD6" s="142">
        <f>SUM(E47+X74)</f>
        <v>89222.265600000013</v>
      </c>
      <c r="AE6" s="109"/>
      <c r="AF6" s="108"/>
      <c r="AG6" s="134"/>
      <c r="AH6" s="142"/>
      <c r="AI6" s="109"/>
      <c r="AJ6" s="108"/>
      <c r="AK6" s="134"/>
      <c r="AL6" s="142"/>
    </row>
    <row r="7" spans="1:38" ht="14.45" x14ac:dyDescent="0.3">
      <c r="A7" s="34">
        <f>(A6)+(F4)</f>
        <v>13.78</v>
      </c>
      <c r="B7" s="34">
        <f t="shared" si="0"/>
        <v>20.669999999999998</v>
      </c>
      <c r="C7" s="34">
        <f t="shared" si="1"/>
        <v>28662.399999999998</v>
      </c>
      <c r="D7" s="34">
        <f t="shared" si="2"/>
        <v>15047.759999999998</v>
      </c>
      <c r="E7" s="37">
        <f t="shared" si="3"/>
        <v>43710.159999999996</v>
      </c>
      <c r="F7" s="32" t="s">
        <v>18</v>
      </c>
      <c r="G7" s="32"/>
      <c r="H7" s="32"/>
      <c r="I7" s="32"/>
      <c r="J7" s="32"/>
      <c r="K7" s="32"/>
      <c r="L7" s="32"/>
      <c r="M7" s="32"/>
      <c r="N7" s="32"/>
      <c r="O7" s="32"/>
      <c r="P7" s="6"/>
      <c r="Q7" s="6"/>
      <c r="R7" s="6"/>
      <c r="S7" s="48">
        <v>3</v>
      </c>
      <c r="T7" s="131" t="s">
        <v>211</v>
      </c>
      <c r="U7" s="122">
        <f>(E55*0.1)+E55</f>
        <v>44616</v>
      </c>
      <c r="V7" s="122">
        <f>(E65*0.1)+E65</f>
        <v>71385.600000000006</v>
      </c>
      <c r="W7" s="46">
        <v>575</v>
      </c>
      <c r="Y7" s="134" t="s">
        <v>165</v>
      </c>
      <c r="Z7" s="135">
        <f>SUM(E33+X56)</f>
        <v>68573.279999999999</v>
      </c>
      <c r="AA7" s="109" t="s">
        <v>170</v>
      </c>
      <c r="AB7" s="108">
        <f>SUM(E33+X57)</f>
        <v>68947.199999999997</v>
      </c>
      <c r="AC7" s="134" t="s">
        <v>176</v>
      </c>
      <c r="AD7" s="142">
        <f>SUM(E34+X58)</f>
        <v>73937.481599999999</v>
      </c>
      <c r="AE7" s="109" t="s">
        <v>181</v>
      </c>
      <c r="AF7" s="108">
        <f>SUM(E35+X59)</f>
        <v>77982.2016</v>
      </c>
      <c r="AG7" s="134" t="s">
        <v>184</v>
      </c>
      <c r="AH7" s="142">
        <f>SUM(E36+X60)</f>
        <v>82026.921600000001</v>
      </c>
      <c r="AI7" s="109" t="s">
        <v>192</v>
      </c>
      <c r="AJ7" s="108">
        <f>SUM(E37+X61)</f>
        <v>86071.641600000003</v>
      </c>
      <c r="AK7" s="134" t="s">
        <v>195</v>
      </c>
      <c r="AL7" s="142">
        <f>SUM(E38+X62)</f>
        <v>90116.361600000004</v>
      </c>
    </row>
    <row r="8" spans="1:38" ht="14.45" x14ac:dyDescent="0.3">
      <c r="A8" s="34">
        <f>(A6)+(G4)</f>
        <v>14.53</v>
      </c>
      <c r="B8" s="34">
        <f t="shared" si="0"/>
        <v>21.794999999999998</v>
      </c>
      <c r="C8" s="34">
        <f t="shared" si="1"/>
        <v>30222.399999999998</v>
      </c>
      <c r="D8" s="34">
        <f t="shared" si="2"/>
        <v>15866.759999999998</v>
      </c>
      <c r="E8" s="37">
        <f t="shared" si="3"/>
        <v>46089.159999999996</v>
      </c>
      <c r="F8" s="32"/>
      <c r="G8" s="32" t="s">
        <v>18</v>
      </c>
      <c r="H8" s="32"/>
      <c r="I8" s="32"/>
      <c r="J8" s="32"/>
      <c r="K8" s="32"/>
      <c r="L8" s="32"/>
      <c r="M8" s="32"/>
      <c r="N8" s="32"/>
      <c r="O8" s="32"/>
      <c r="P8" s="6"/>
      <c r="Q8" s="6"/>
      <c r="R8" s="6"/>
      <c r="S8" s="48">
        <v>6</v>
      </c>
      <c r="T8" s="33" t="s">
        <v>207</v>
      </c>
      <c r="U8" s="34">
        <f>SUM(E6)</f>
        <v>42124.159999999996</v>
      </c>
      <c r="V8" s="34">
        <f>SUM(E16)</f>
        <v>70672.160000000003</v>
      </c>
      <c r="W8" s="46">
        <v>575</v>
      </c>
      <c r="Y8" s="134" t="s">
        <v>171</v>
      </c>
      <c r="Z8" s="135">
        <f>SUM(E31*2+X55*2)</f>
        <v>121934.40000000001</v>
      </c>
      <c r="AA8" s="109" t="s">
        <v>171</v>
      </c>
      <c r="AB8" s="108">
        <f>SUM(E31*2+X55*2)</f>
        <v>121934.40000000001</v>
      </c>
      <c r="AC8" s="134" t="s">
        <v>164</v>
      </c>
      <c r="AD8" s="142">
        <f>SUM(E32*2+X56*2)</f>
        <v>129914.4</v>
      </c>
      <c r="AE8" s="109" t="s">
        <v>182</v>
      </c>
      <c r="AF8" s="108">
        <f>SUM(E33*2+X57*2)</f>
        <v>137894.39999999999</v>
      </c>
      <c r="AG8" s="134" t="s">
        <v>185</v>
      </c>
      <c r="AH8" s="142">
        <f>SUM(E34*2+X58*2)</f>
        <v>147874.9632</v>
      </c>
      <c r="AI8" s="109" t="s">
        <v>189</v>
      </c>
      <c r="AJ8" s="108">
        <f>SUM(E35*2+X59*2)</f>
        <v>155964.4032</v>
      </c>
      <c r="AK8" s="134" t="s">
        <v>193</v>
      </c>
      <c r="AL8" s="142">
        <f>SUM(E36*2+X60*2)</f>
        <v>164053.8432</v>
      </c>
    </row>
    <row r="9" spans="1:38" ht="14.45" x14ac:dyDescent="0.3">
      <c r="A9" s="34">
        <f>(A6)+(H4)</f>
        <v>15.28</v>
      </c>
      <c r="B9" s="34">
        <f t="shared" si="0"/>
        <v>22.919999999999998</v>
      </c>
      <c r="C9" s="34">
        <f t="shared" si="1"/>
        <v>31782.399999999998</v>
      </c>
      <c r="D9" s="34">
        <f t="shared" si="2"/>
        <v>16685.759999999998</v>
      </c>
      <c r="E9" s="37">
        <f t="shared" si="3"/>
        <v>48468.159999999996</v>
      </c>
      <c r="F9" s="32"/>
      <c r="G9" s="32"/>
      <c r="H9" s="32" t="s">
        <v>18</v>
      </c>
      <c r="I9" s="32"/>
      <c r="J9" s="32"/>
      <c r="K9" s="32"/>
      <c r="L9" s="32"/>
      <c r="M9" s="32"/>
      <c r="N9" s="32"/>
      <c r="O9" s="32"/>
      <c r="P9" s="6"/>
      <c r="Q9" s="6"/>
      <c r="R9" s="6"/>
      <c r="S9" s="48">
        <v>6</v>
      </c>
      <c r="T9" s="24" t="s">
        <v>19</v>
      </c>
      <c r="U9" s="5">
        <f>(E6*0.04)+E6</f>
        <v>43809.126399999994</v>
      </c>
      <c r="V9" s="5">
        <f>(E16*0.04)+E16</f>
        <v>73499.046400000007</v>
      </c>
      <c r="W9" s="46">
        <v>575</v>
      </c>
      <c r="Y9" s="134" t="s">
        <v>166</v>
      </c>
      <c r="Z9" s="135">
        <f>SUM(E21+X56)</f>
        <v>59793.184000000001</v>
      </c>
      <c r="AA9" s="109" t="s">
        <v>172</v>
      </c>
      <c r="AB9" s="108">
        <f>SUM(E22+X44)</f>
        <v>62899.199999999997</v>
      </c>
      <c r="AC9" s="134" t="s">
        <v>177</v>
      </c>
      <c r="AD9" s="142">
        <f>SUM(E23+X45)</f>
        <v>67451.737600000008</v>
      </c>
      <c r="AE9" s="109" t="s">
        <v>183</v>
      </c>
      <c r="AF9" s="108">
        <f>SUM(E24+X46)</f>
        <v>71141.657600000006</v>
      </c>
      <c r="AG9" s="134" t="s">
        <v>186</v>
      </c>
      <c r="AH9" s="142">
        <f>SUM(E25+X47)</f>
        <v>74831.577600000019</v>
      </c>
      <c r="AI9" s="109" t="s">
        <v>190</v>
      </c>
      <c r="AJ9" s="108">
        <f>SUM(E26+X48)</f>
        <v>78521.497600000002</v>
      </c>
      <c r="AK9" s="134" t="s">
        <v>194</v>
      </c>
      <c r="AL9" s="142">
        <f>SUM(E27+X49)</f>
        <v>82211.417600000015</v>
      </c>
    </row>
    <row r="10" spans="1:38" ht="14.45" x14ac:dyDescent="0.3">
      <c r="A10" s="34">
        <f>(A6)+(I4)</f>
        <v>16.28</v>
      </c>
      <c r="B10" s="34">
        <f t="shared" si="0"/>
        <v>24.42</v>
      </c>
      <c r="C10" s="34">
        <f t="shared" si="1"/>
        <v>33862.400000000001</v>
      </c>
      <c r="D10" s="34">
        <f t="shared" si="2"/>
        <v>17777.760000000002</v>
      </c>
      <c r="E10" s="37">
        <f t="shared" si="3"/>
        <v>51640.160000000003</v>
      </c>
      <c r="F10" s="32"/>
      <c r="G10" s="32"/>
      <c r="H10" s="32"/>
      <c r="I10" s="32" t="s">
        <v>18</v>
      </c>
      <c r="J10" s="32"/>
      <c r="K10" s="32"/>
      <c r="L10" s="32"/>
      <c r="M10" s="32"/>
      <c r="N10" s="32"/>
      <c r="O10" s="32"/>
      <c r="P10" s="6"/>
      <c r="Q10" s="6"/>
      <c r="R10" s="6"/>
      <c r="S10" s="48">
        <v>3</v>
      </c>
      <c r="T10" s="23" t="s">
        <v>20</v>
      </c>
      <c r="U10" s="19">
        <f>(E6*0.14)+E6</f>
        <v>48021.542399999998</v>
      </c>
      <c r="V10" s="19">
        <f>(E16*0.14)+E16</f>
        <v>80566.262400000007</v>
      </c>
      <c r="W10" s="46">
        <v>575</v>
      </c>
      <c r="Y10" s="136" t="s">
        <v>167</v>
      </c>
      <c r="Z10" s="135">
        <f>SUM(E19*3+X41*3)</f>
        <v>158667.6</v>
      </c>
      <c r="AA10" s="105" t="s">
        <v>173</v>
      </c>
      <c r="AB10" s="108">
        <f>SUM(E20*3+X42*3)</f>
        <v>166857.60000000001</v>
      </c>
      <c r="AC10" s="136" t="s">
        <v>178</v>
      </c>
      <c r="AD10" s="142">
        <f>SUM(E21*3+X43*3)</f>
        <v>177777.6</v>
      </c>
      <c r="AE10" s="105" t="s">
        <v>179</v>
      </c>
      <c r="AF10" s="108">
        <f>SUM(E22*3+X44*3)</f>
        <v>188697.59999999998</v>
      </c>
      <c r="AG10" s="136" t="s">
        <v>196</v>
      </c>
      <c r="AH10" s="142">
        <f>SUM(E23*3+X45*3)</f>
        <v>202355.21280000001</v>
      </c>
      <c r="AI10" s="105" t="s">
        <v>197</v>
      </c>
      <c r="AJ10" s="108">
        <f>SUM(E24*3+X46*3)</f>
        <v>213424.97280000002</v>
      </c>
      <c r="AK10" s="136" t="s">
        <v>198</v>
      </c>
      <c r="AL10" s="142">
        <f>SUM(E25*3+X47*3)</f>
        <v>224494.73280000003</v>
      </c>
    </row>
    <row r="11" spans="1:38" ht="14.45" x14ac:dyDescent="0.3">
      <c r="A11" s="34">
        <f>(A6)+(J4)</f>
        <v>17.28</v>
      </c>
      <c r="B11" s="34">
        <f t="shared" si="0"/>
        <v>25.92</v>
      </c>
      <c r="C11" s="34">
        <f t="shared" si="1"/>
        <v>35942.400000000001</v>
      </c>
      <c r="D11" s="34">
        <f t="shared" si="2"/>
        <v>18869.760000000002</v>
      </c>
      <c r="E11" s="37">
        <f t="shared" si="3"/>
        <v>54812.160000000003</v>
      </c>
      <c r="F11" s="32"/>
      <c r="G11" s="32"/>
      <c r="H11" s="32"/>
      <c r="I11" s="32"/>
      <c r="J11" s="32" t="s">
        <v>18</v>
      </c>
      <c r="K11" s="32"/>
      <c r="L11" s="32"/>
      <c r="M11" s="32"/>
      <c r="N11" s="32"/>
      <c r="O11" s="32"/>
      <c r="P11" s="6"/>
      <c r="Q11" s="6"/>
      <c r="R11" s="6"/>
      <c r="S11" s="48">
        <v>3</v>
      </c>
      <c r="T11" s="22" t="s">
        <v>21</v>
      </c>
      <c r="U11" s="20">
        <f>(E6*0.24)+E6</f>
        <v>52233.958399999996</v>
      </c>
      <c r="V11" s="20">
        <f>(E16*0.24)+E16</f>
        <v>87633.478400000007</v>
      </c>
      <c r="W11" s="46">
        <v>575</v>
      </c>
      <c r="Y11" s="137" t="s">
        <v>231</v>
      </c>
      <c r="Z11" s="138">
        <f>SUM(E17*5+X39*5)</f>
        <v>230647.03999999998</v>
      </c>
      <c r="AA11" s="112" t="s">
        <v>236</v>
      </c>
      <c r="AB11" s="113">
        <f>SUM(E19*7+X41*7)</f>
        <v>370224.4</v>
      </c>
      <c r="AC11" s="137" t="s">
        <v>174</v>
      </c>
      <c r="AD11" s="143">
        <f>SUM(E20*8+X42*8)</f>
        <v>444953.59999999998</v>
      </c>
      <c r="AE11" s="112" t="s">
        <v>180</v>
      </c>
      <c r="AF11" s="113">
        <f>SUM(E21*8+X43*8)</f>
        <v>474073.59999999998</v>
      </c>
      <c r="AG11" s="137" t="s">
        <v>188</v>
      </c>
      <c r="AH11" s="143">
        <f>SUM(E22*8+X44*8)</f>
        <v>503193.59999999998</v>
      </c>
      <c r="AI11" s="112" t="s">
        <v>187</v>
      </c>
      <c r="AJ11" s="113">
        <f>SUM(E23*8+X45*8)</f>
        <v>539613.90080000006</v>
      </c>
      <c r="AK11" s="137" t="s">
        <v>191</v>
      </c>
      <c r="AL11" s="143">
        <f>SUM(E24*8+X46*8)</f>
        <v>569133.26080000005</v>
      </c>
    </row>
    <row r="12" spans="1:38" ht="14.45" x14ac:dyDescent="0.3">
      <c r="A12" s="34">
        <f>(A6)+(K4)</f>
        <v>18.28</v>
      </c>
      <c r="B12" s="34">
        <f t="shared" si="0"/>
        <v>27.42</v>
      </c>
      <c r="C12" s="34">
        <f t="shared" si="1"/>
        <v>38022.400000000001</v>
      </c>
      <c r="D12" s="34">
        <f t="shared" si="2"/>
        <v>19961.760000000002</v>
      </c>
      <c r="E12" s="37">
        <f t="shared" si="3"/>
        <v>57984.160000000003</v>
      </c>
      <c r="F12" s="32"/>
      <c r="G12" s="32"/>
      <c r="H12" s="32"/>
      <c r="I12" s="32"/>
      <c r="J12" s="32"/>
      <c r="K12" s="32" t="s">
        <v>18</v>
      </c>
      <c r="L12" s="32"/>
      <c r="M12" s="32"/>
      <c r="N12" s="32"/>
      <c r="O12" s="32"/>
      <c r="P12" s="6"/>
      <c r="Q12" s="6"/>
      <c r="R12" s="6"/>
      <c r="S12" s="128">
        <f>SUM(S6:S11)</f>
        <v>30</v>
      </c>
      <c r="T12" s="6" t="s">
        <v>29</v>
      </c>
      <c r="U12" s="30" t="s">
        <v>22</v>
      </c>
      <c r="V12" s="30" t="s">
        <v>213</v>
      </c>
      <c r="W12" s="45" t="s">
        <v>34</v>
      </c>
      <c r="Y12" s="139" t="s">
        <v>156</v>
      </c>
      <c r="Z12" s="139" t="s">
        <v>145</v>
      </c>
      <c r="AA12" s="128" t="s">
        <v>156</v>
      </c>
      <c r="AB12" s="110" t="s">
        <v>146</v>
      </c>
      <c r="AC12" s="139" t="s">
        <v>156</v>
      </c>
      <c r="AD12" s="139" t="s">
        <v>147</v>
      </c>
      <c r="AE12" s="128" t="s">
        <v>156</v>
      </c>
      <c r="AF12" s="110" t="s">
        <v>148</v>
      </c>
      <c r="AG12" s="139" t="s">
        <v>156</v>
      </c>
      <c r="AH12" s="139" t="s">
        <v>149</v>
      </c>
      <c r="AI12" s="128" t="s">
        <v>156</v>
      </c>
      <c r="AJ12" s="110" t="s">
        <v>153</v>
      </c>
      <c r="AK12" s="139" t="s">
        <v>156</v>
      </c>
      <c r="AL12" s="139" t="s">
        <v>150</v>
      </c>
    </row>
    <row r="13" spans="1:38" ht="14.45" x14ac:dyDescent="0.3">
      <c r="A13" s="34">
        <f>(A6)+(L4)</f>
        <v>19.28</v>
      </c>
      <c r="B13" s="34">
        <f t="shared" si="0"/>
        <v>28.92</v>
      </c>
      <c r="C13" s="34">
        <f t="shared" si="1"/>
        <v>40102.400000000001</v>
      </c>
      <c r="D13" s="34">
        <f t="shared" si="2"/>
        <v>21053.760000000002</v>
      </c>
      <c r="E13" s="37">
        <f t="shared" si="3"/>
        <v>61156.160000000003</v>
      </c>
      <c r="F13" s="32"/>
      <c r="G13" s="32"/>
      <c r="H13" s="32"/>
      <c r="I13" s="32"/>
      <c r="J13" s="32"/>
      <c r="K13" s="32"/>
      <c r="L13" s="32" t="s">
        <v>18</v>
      </c>
      <c r="M13" s="32"/>
      <c r="N13" s="32"/>
      <c r="O13" s="32"/>
      <c r="P13" s="6"/>
      <c r="Q13" s="6"/>
      <c r="R13" s="6"/>
      <c r="S13" s="49"/>
      <c r="T13" s="129" t="s">
        <v>214</v>
      </c>
      <c r="U13" s="118">
        <f t="shared" ref="U13:U18" si="4">SUM(U6*S6)</f>
        <v>365040</v>
      </c>
      <c r="V13" s="118">
        <f t="shared" ref="V13:V18" si="5">SUM(V6*S6)</f>
        <v>584064</v>
      </c>
      <c r="W13" s="46">
        <f t="shared" ref="W13:W18" si="6">SUM(W6*S6*12)</f>
        <v>62100</v>
      </c>
      <c r="Y13" s="140" t="s">
        <v>200</v>
      </c>
      <c r="Z13" s="141">
        <f>SUM(E66*3+X94*3)</f>
        <v>142164</v>
      </c>
      <c r="AA13" s="114" t="s">
        <v>215</v>
      </c>
      <c r="AB13" s="115">
        <f>SUM(E68*3+X96*3)</f>
        <v>162591</v>
      </c>
      <c r="AC13" s="140" t="s">
        <v>216</v>
      </c>
      <c r="AD13" s="141">
        <f>SUM(E69*3+X97*3)</f>
        <v>170095.2</v>
      </c>
      <c r="AE13" s="114" t="s">
        <v>217</v>
      </c>
      <c r="AF13" s="115">
        <f>SUM(E70*3+X98*3)</f>
        <v>180100.8</v>
      </c>
      <c r="AG13" s="140" t="s">
        <v>218</v>
      </c>
      <c r="AH13" s="141">
        <f>SUM(E71*3+X99*3)</f>
        <v>190106.4</v>
      </c>
      <c r="AI13" s="114" t="s">
        <v>220</v>
      </c>
      <c r="AJ13" s="115">
        <f>SUM(E72*3+X100*3)</f>
        <v>203280</v>
      </c>
      <c r="AK13" s="140" t="s">
        <v>222</v>
      </c>
      <c r="AL13" s="141">
        <f>SUM(E73*3+X101*3)</f>
        <v>213444</v>
      </c>
    </row>
    <row r="14" spans="1:38" ht="14.45" x14ac:dyDescent="0.3">
      <c r="A14" s="34">
        <f>(A6)+(M4)</f>
        <v>20.28</v>
      </c>
      <c r="B14" s="34">
        <f t="shared" si="0"/>
        <v>30.42</v>
      </c>
      <c r="C14" s="34">
        <f t="shared" si="1"/>
        <v>42182.400000000001</v>
      </c>
      <c r="D14" s="34">
        <f t="shared" si="2"/>
        <v>22145.760000000002</v>
      </c>
      <c r="E14" s="37">
        <f t="shared" si="3"/>
        <v>64328.160000000003</v>
      </c>
      <c r="F14" s="32"/>
      <c r="G14" s="32"/>
      <c r="H14" s="32"/>
      <c r="I14" s="32"/>
      <c r="J14" s="32"/>
      <c r="K14" s="32"/>
      <c r="L14" s="32"/>
      <c r="M14" s="32" t="s">
        <v>18</v>
      </c>
      <c r="N14" s="32"/>
      <c r="O14" s="32"/>
      <c r="P14" s="6"/>
      <c r="Q14" s="6"/>
      <c r="R14" s="6"/>
      <c r="S14" s="49"/>
      <c r="T14" s="131" t="s">
        <v>211</v>
      </c>
      <c r="U14" s="122">
        <f t="shared" si="4"/>
        <v>133848</v>
      </c>
      <c r="V14" s="122">
        <f t="shared" si="5"/>
        <v>214156.80000000002</v>
      </c>
      <c r="W14" s="46">
        <f t="shared" si="6"/>
        <v>20700</v>
      </c>
      <c r="Y14" s="134" t="s">
        <v>232</v>
      </c>
      <c r="Z14" s="142">
        <f>SUM(E55*2+X80*2)+AD26</f>
        <v>198480</v>
      </c>
      <c r="AA14" s="116" t="s">
        <v>233</v>
      </c>
      <c r="AB14" s="108">
        <f>SUM(E57*4+X82*4)+AD27</f>
        <v>290680</v>
      </c>
      <c r="AC14" s="134" t="s">
        <v>234</v>
      </c>
      <c r="AD14" s="142">
        <f>SUM(E58*6+X83*6)+AD28</f>
        <v>365424</v>
      </c>
      <c r="AE14" s="116" t="s">
        <v>235</v>
      </c>
      <c r="AF14" s="108">
        <f>SUM(E59*8+X84*8)+AD29</f>
        <v>455328</v>
      </c>
      <c r="AG14" s="134" t="s">
        <v>219</v>
      </c>
      <c r="AH14" s="142">
        <f>SUM(E60*9+X85*9)</f>
        <v>518472</v>
      </c>
      <c r="AI14" s="116" t="s">
        <v>221</v>
      </c>
      <c r="AJ14" s="108">
        <f>SUM(E61*9+X86*9)</f>
        <v>554400</v>
      </c>
      <c r="AK14" s="134" t="s">
        <v>223</v>
      </c>
      <c r="AL14" s="142">
        <f>SUM(E62*9+X87*9)</f>
        <v>582120</v>
      </c>
    </row>
    <row r="15" spans="1:38" ht="14.45" x14ac:dyDescent="0.3">
      <c r="A15" s="34">
        <f>(A6)+(N4)</f>
        <v>21.28</v>
      </c>
      <c r="B15" s="34">
        <f t="shared" si="0"/>
        <v>31.92</v>
      </c>
      <c r="C15" s="34">
        <f t="shared" si="1"/>
        <v>44262.400000000001</v>
      </c>
      <c r="D15" s="34">
        <f t="shared" si="2"/>
        <v>23237.760000000002</v>
      </c>
      <c r="E15" s="37">
        <f t="shared" si="3"/>
        <v>67500.160000000003</v>
      </c>
      <c r="F15" s="32"/>
      <c r="G15" s="32"/>
      <c r="H15" s="32"/>
      <c r="I15" s="32"/>
      <c r="J15" s="32"/>
      <c r="K15" s="32"/>
      <c r="L15" s="32"/>
      <c r="M15" s="32"/>
      <c r="N15" s="32" t="s">
        <v>18</v>
      </c>
      <c r="O15" s="32"/>
      <c r="P15" s="6"/>
      <c r="Q15" s="6"/>
      <c r="R15" s="6"/>
      <c r="S15" s="49"/>
      <c r="T15" s="33" t="s">
        <v>207</v>
      </c>
      <c r="U15" s="34">
        <f t="shared" si="4"/>
        <v>252744.95999999996</v>
      </c>
      <c r="V15" s="34">
        <f t="shared" si="5"/>
        <v>424032.96</v>
      </c>
      <c r="W15" s="46">
        <f t="shared" si="6"/>
        <v>41400</v>
      </c>
      <c r="Y15" s="148" t="s">
        <v>169</v>
      </c>
      <c r="Z15" s="149">
        <f>SUM(Z4:Z11,Z13:Z14)</f>
        <v>1243526.7808000001</v>
      </c>
      <c r="AA15" s="150" t="s">
        <v>169</v>
      </c>
      <c r="AB15" s="151">
        <f>SUM(AB4:AB11,AB13:AB14)</f>
        <v>1516200.1168</v>
      </c>
      <c r="AC15" s="148" t="s">
        <v>169</v>
      </c>
      <c r="AD15" s="149">
        <f>SUM(AD4:AD11,AD13:AD14)</f>
        <v>1710419.3759999999</v>
      </c>
      <c r="AE15" s="150" t="s">
        <v>169</v>
      </c>
      <c r="AF15" s="151">
        <f>SUM(AF4:AF11,AF13:AF14)</f>
        <v>1874882.6560000002</v>
      </c>
      <c r="AG15" s="148" t="s">
        <v>169</v>
      </c>
      <c r="AH15" s="149">
        <f>SUM(AH4:AH11,AH13:AH14)</f>
        <v>2012924.5919999999</v>
      </c>
      <c r="AI15" s="150" t="s">
        <v>169</v>
      </c>
      <c r="AJ15" s="151">
        <f>SUM(AJ4:AJ11,AJ13:AJ14)</f>
        <v>2125340.3328</v>
      </c>
      <c r="AK15" s="148" t="s">
        <v>169</v>
      </c>
      <c r="AL15" s="149">
        <f>SUM(AL4:AL11,AL13:AL14)</f>
        <v>2219637.5328000002</v>
      </c>
    </row>
    <row r="16" spans="1:38" ht="14.45" x14ac:dyDescent="0.3">
      <c r="A16" s="34">
        <f>(A6)+(O4)</f>
        <v>22.28</v>
      </c>
      <c r="B16" s="34">
        <f t="shared" si="0"/>
        <v>33.42</v>
      </c>
      <c r="C16" s="34">
        <f t="shared" si="1"/>
        <v>46342.400000000001</v>
      </c>
      <c r="D16" s="34">
        <f t="shared" si="2"/>
        <v>24329.760000000002</v>
      </c>
      <c r="E16" s="37">
        <f t="shared" si="3"/>
        <v>70672.160000000003</v>
      </c>
      <c r="F16" s="38"/>
      <c r="G16" s="38"/>
      <c r="H16" s="38"/>
      <c r="I16" s="32"/>
      <c r="J16" s="32"/>
      <c r="K16" s="32"/>
      <c r="L16" s="32"/>
      <c r="M16" s="32"/>
      <c r="N16" s="32"/>
      <c r="O16" s="32" t="s">
        <v>18</v>
      </c>
      <c r="P16" s="6"/>
      <c r="Q16" s="6"/>
      <c r="R16" s="6"/>
      <c r="S16" s="49"/>
      <c r="T16" s="24" t="s">
        <v>19</v>
      </c>
      <c r="U16" s="5">
        <f t="shared" si="4"/>
        <v>262854.75839999993</v>
      </c>
      <c r="V16" s="5">
        <f t="shared" si="5"/>
        <v>440994.27840000007</v>
      </c>
      <c r="W16" s="46">
        <f t="shared" si="6"/>
        <v>41400</v>
      </c>
      <c r="Y16" s="155"/>
      <c r="Z16" s="156"/>
      <c r="AA16" s="155"/>
      <c r="AB16" s="156"/>
      <c r="AC16" s="155"/>
      <c r="AD16" s="156"/>
      <c r="AE16" s="155"/>
      <c r="AF16" s="156"/>
      <c r="AG16" s="155"/>
      <c r="AH16" s="156"/>
      <c r="AI16" s="155"/>
      <c r="AJ16" s="156"/>
      <c r="AK16" s="155"/>
      <c r="AL16" s="156"/>
    </row>
    <row r="17" spans="1:39" ht="14.45" x14ac:dyDescent="0.3">
      <c r="A17" s="5">
        <f t="shared" ref="A17:A25" si="7">(A6*0.04)+A6</f>
        <v>13.811199999999999</v>
      </c>
      <c r="B17" s="5">
        <f t="shared" si="0"/>
        <v>20.716799999999999</v>
      </c>
      <c r="C17" s="5">
        <f t="shared" si="1"/>
        <v>28727.295999999998</v>
      </c>
      <c r="D17" s="5">
        <f t="shared" si="2"/>
        <v>15081.830399999999</v>
      </c>
      <c r="E17" s="16">
        <f t="shared" ref="E17:E49" si="8">SUM(C17,D17)</f>
        <v>43809.126399999994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 t="s">
        <v>18</v>
      </c>
      <c r="Q17" s="6"/>
      <c r="R17" s="6"/>
      <c r="S17" s="50"/>
      <c r="T17" s="23" t="s">
        <v>20</v>
      </c>
      <c r="U17" s="19">
        <f t="shared" si="4"/>
        <v>144064.62719999999</v>
      </c>
      <c r="V17" s="19">
        <f t="shared" si="5"/>
        <v>241698.78720000002</v>
      </c>
      <c r="W17" s="46">
        <f t="shared" si="6"/>
        <v>20700</v>
      </c>
      <c r="Y17" s="152" t="s">
        <v>201</v>
      </c>
      <c r="Z17" s="152" t="s">
        <v>145</v>
      </c>
      <c r="AA17" s="153" t="s">
        <v>201</v>
      </c>
      <c r="AB17" s="154" t="s">
        <v>146</v>
      </c>
      <c r="AC17" s="152" t="s">
        <v>201</v>
      </c>
      <c r="AD17" s="152" t="s">
        <v>147</v>
      </c>
      <c r="AE17" s="153" t="s">
        <v>201</v>
      </c>
      <c r="AF17" s="154" t="s">
        <v>148</v>
      </c>
      <c r="AG17" s="152" t="s">
        <v>201</v>
      </c>
      <c r="AH17" s="152" t="s">
        <v>149</v>
      </c>
      <c r="AI17" s="153" t="s">
        <v>201</v>
      </c>
      <c r="AJ17" s="154" t="s">
        <v>153</v>
      </c>
      <c r="AK17" s="152" t="s">
        <v>201</v>
      </c>
      <c r="AL17" s="152" t="s">
        <v>150</v>
      </c>
    </row>
    <row r="18" spans="1:39" ht="14.45" x14ac:dyDescent="0.3">
      <c r="A18" s="5">
        <f t="shared" si="7"/>
        <v>14.331199999999999</v>
      </c>
      <c r="B18" s="5">
        <f t="shared" si="0"/>
        <v>21.4968</v>
      </c>
      <c r="C18" s="5">
        <f t="shared" si="1"/>
        <v>29808.895999999997</v>
      </c>
      <c r="D18" s="5">
        <f t="shared" si="2"/>
        <v>15649.670400000001</v>
      </c>
      <c r="E18" s="16">
        <f t="shared" si="8"/>
        <v>45458.566399999996</v>
      </c>
      <c r="F18" s="9" t="s">
        <v>18</v>
      </c>
      <c r="G18" s="9"/>
      <c r="H18" s="9"/>
      <c r="I18" s="9"/>
      <c r="J18" s="9"/>
      <c r="K18" s="9"/>
      <c r="L18" s="9"/>
      <c r="M18" s="9"/>
      <c r="N18" s="9"/>
      <c r="O18" s="9"/>
      <c r="P18" s="9" t="s">
        <v>18</v>
      </c>
      <c r="Q18" s="6"/>
      <c r="R18" s="6"/>
      <c r="S18" s="51"/>
      <c r="T18" s="22" t="s">
        <v>21</v>
      </c>
      <c r="U18" s="20">
        <f t="shared" si="4"/>
        <v>156701.87519999998</v>
      </c>
      <c r="V18" s="20">
        <f t="shared" si="5"/>
        <v>262900.43520000001</v>
      </c>
      <c r="W18" s="46">
        <f t="shared" si="6"/>
        <v>20700</v>
      </c>
      <c r="Y18" s="144" t="s">
        <v>245</v>
      </c>
      <c r="Z18" s="141">
        <v>27000</v>
      </c>
      <c r="AA18" s="133" t="s">
        <v>246</v>
      </c>
      <c r="AB18" s="115">
        <v>27000</v>
      </c>
      <c r="AC18" s="144" t="s">
        <v>245</v>
      </c>
      <c r="AD18" s="141">
        <v>27000</v>
      </c>
      <c r="AE18" s="133" t="s">
        <v>246</v>
      </c>
      <c r="AF18" s="115">
        <v>27000</v>
      </c>
      <c r="AG18" s="144" t="s">
        <v>245</v>
      </c>
      <c r="AH18" s="141">
        <v>27000</v>
      </c>
      <c r="AI18" s="133" t="s">
        <v>246</v>
      </c>
      <c r="AJ18" s="115">
        <v>27000</v>
      </c>
      <c r="AK18" s="144" t="s">
        <v>245</v>
      </c>
      <c r="AL18" s="141">
        <v>27000</v>
      </c>
      <c r="AM18" t="s">
        <v>224</v>
      </c>
    </row>
    <row r="19" spans="1:39" ht="14.45" x14ac:dyDescent="0.3">
      <c r="A19" s="5">
        <f t="shared" si="7"/>
        <v>15.1112</v>
      </c>
      <c r="B19" s="5">
        <f t="shared" si="0"/>
        <v>22.666800000000002</v>
      </c>
      <c r="C19" s="5">
        <f t="shared" si="1"/>
        <v>31431.296000000002</v>
      </c>
      <c r="D19" s="5">
        <f t="shared" si="2"/>
        <v>16501.430400000001</v>
      </c>
      <c r="E19" s="16">
        <f t="shared" si="8"/>
        <v>47932.7264</v>
      </c>
      <c r="F19" s="9"/>
      <c r="G19" s="9" t="s">
        <v>18</v>
      </c>
      <c r="H19" s="9"/>
      <c r="I19" s="9"/>
      <c r="J19" s="9"/>
      <c r="K19" s="9"/>
      <c r="L19" s="9"/>
      <c r="M19" s="9"/>
      <c r="N19" s="9"/>
      <c r="O19" s="9"/>
      <c r="P19" s="9" t="s">
        <v>18</v>
      </c>
      <c r="Q19" s="6"/>
      <c r="R19" s="6"/>
      <c r="S19" s="51"/>
      <c r="T19" s="1" t="s">
        <v>143</v>
      </c>
      <c r="U19" s="4">
        <v>371000</v>
      </c>
      <c r="V19" s="4">
        <v>371000</v>
      </c>
      <c r="W19" s="46"/>
      <c r="Y19" s="134" t="s">
        <v>202</v>
      </c>
      <c r="Z19" s="142">
        <v>75000</v>
      </c>
      <c r="AA19" s="111" t="s">
        <v>202</v>
      </c>
      <c r="AB19" s="108">
        <f>SUM(Z19*0.04+Z19)</f>
        <v>78000</v>
      </c>
      <c r="AC19" s="134" t="s">
        <v>202</v>
      </c>
      <c r="AD19" s="142">
        <f>SUM(AB19*0.04+AB19)</f>
        <v>81120</v>
      </c>
      <c r="AE19" s="111" t="s">
        <v>202</v>
      </c>
      <c r="AF19" s="108">
        <f>SUM(AD19*0.04+AD19)</f>
        <v>84364.800000000003</v>
      </c>
      <c r="AG19" s="134" t="s">
        <v>202</v>
      </c>
      <c r="AH19" s="142">
        <f>SUM(AF19*0.04+AF19)</f>
        <v>87739.392000000007</v>
      </c>
      <c r="AI19" s="111" t="s">
        <v>202</v>
      </c>
      <c r="AJ19" s="108">
        <f>SUM(AH19*0.04+AH19)</f>
        <v>91248.967680000002</v>
      </c>
      <c r="AK19" s="134" t="s">
        <v>202</v>
      </c>
      <c r="AL19" s="142">
        <f>SUM(AJ19*0.04+AJ19)</f>
        <v>94898.926387200001</v>
      </c>
      <c r="AM19" t="s">
        <v>203</v>
      </c>
    </row>
    <row r="20" spans="1:39" ht="14.45" x14ac:dyDescent="0.3">
      <c r="A20" s="5">
        <f t="shared" si="7"/>
        <v>15.8912</v>
      </c>
      <c r="B20" s="5">
        <f t="shared" si="0"/>
        <v>23.8368</v>
      </c>
      <c r="C20" s="5">
        <f t="shared" si="1"/>
        <v>33053.695999999996</v>
      </c>
      <c r="D20" s="5">
        <f t="shared" si="2"/>
        <v>17353.190399999999</v>
      </c>
      <c r="E20" s="16">
        <f t="shared" si="8"/>
        <v>50406.886399999996</v>
      </c>
      <c r="F20" s="9"/>
      <c r="G20" s="9"/>
      <c r="H20" s="9" t="s">
        <v>18</v>
      </c>
      <c r="I20" s="9"/>
      <c r="J20" s="9"/>
      <c r="K20" s="9"/>
      <c r="L20" s="9"/>
      <c r="M20" s="9"/>
      <c r="N20" s="9"/>
      <c r="O20" s="9"/>
      <c r="P20" s="9" t="s">
        <v>18</v>
      </c>
      <c r="Q20" s="6"/>
      <c r="R20" s="6"/>
      <c r="S20" s="49"/>
      <c r="T20" s="1" t="s">
        <v>27</v>
      </c>
      <c r="U20" s="4">
        <v>27000</v>
      </c>
      <c r="V20" s="4">
        <v>27000</v>
      </c>
      <c r="W20" s="46"/>
      <c r="Y20" s="137" t="s">
        <v>36</v>
      </c>
      <c r="Z20" s="143">
        <v>100000</v>
      </c>
      <c r="AA20" s="145" t="s">
        <v>36</v>
      </c>
      <c r="AB20" s="108">
        <f>SUM(Z20*0.04+Z20)</f>
        <v>104000</v>
      </c>
      <c r="AC20" s="137" t="s">
        <v>36</v>
      </c>
      <c r="AD20" s="142">
        <f>SUM(AB20*0.04+AB20)</f>
        <v>108160</v>
      </c>
      <c r="AE20" s="145" t="s">
        <v>36</v>
      </c>
      <c r="AF20" s="108">
        <f>SUM(AD20*0.04+AD20)</f>
        <v>112486.39999999999</v>
      </c>
      <c r="AG20" s="137" t="s">
        <v>36</v>
      </c>
      <c r="AH20" s="142">
        <f>SUM(AF20*0.04+AF20)</f>
        <v>116985.856</v>
      </c>
      <c r="AI20" s="145" t="s">
        <v>36</v>
      </c>
      <c r="AJ20" s="108">
        <f>SUM(AH20*0.04+AH20)</f>
        <v>121665.29024</v>
      </c>
      <c r="AK20" s="137" t="s">
        <v>36</v>
      </c>
      <c r="AL20" s="142">
        <f>SUM(AJ20*0.04+AJ20)</f>
        <v>126531.90184960001</v>
      </c>
      <c r="AM20" t="s">
        <v>203</v>
      </c>
    </row>
    <row r="21" spans="1:39" ht="14.45" x14ac:dyDescent="0.3">
      <c r="A21" s="5">
        <f t="shared" si="7"/>
        <v>16.9312</v>
      </c>
      <c r="B21" s="5">
        <f t="shared" si="0"/>
        <v>25.396799999999999</v>
      </c>
      <c r="C21" s="5">
        <f t="shared" si="1"/>
        <v>35216.896000000001</v>
      </c>
      <c r="D21" s="5">
        <f t="shared" si="2"/>
        <v>18488.8704</v>
      </c>
      <c r="E21" s="16">
        <f t="shared" si="8"/>
        <v>53705.7664</v>
      </c>
      <c r="F21" s="9"/>
      <c r="G21" s="9"/>
      <c r="H21" s="9"/>
      <c r="I21" s="9" t="s">
        <v>18</v>
      </c>
      <c r="J21" s="9"/>
      <c r="K21" s="9"/>
      <c r="L21" s="9"/>
      <c r="M21" s="9"/>
      <c r="N21" s="9"/>
      <c r="O21" s="9"/>
      <c r="P21" s="9" t="s">
        <v>18</v>
      </c>
      <c r="Q21" s="6"/>
      <c r="R21" s="6"/>
      <c r="S21" s="52">
        <v>1</v>
      </c>
      <c r="T21" s="1" t="s">
        <v>199</v>
      </c>
      <c r="U21" s="4">
        <v>75000</v>
      </c>
      <c r="V21" s="4">
        <v>100000</v>
      </c>
      <c r="W21" s="46">
        <f>SUM(S21*575*12)</f>
        <v>6900</v>
      </c>
      <c r="Y21" s="139" t="s">
        <v>169</v>
      </c>
      <c r="Z21" s="147">
        <f>SUM(Z18:Z20)</f>
        <v>202000</v>
      </c>
      <c r="AA21" s="128" t="s">
        <v>169</v>
      </c>
      <c r="AB21" s="146">
        <f>SUM(AB18:AB20)</f>
        <v>209000</v>
      </c>
      <c r="AC21" s="139" t="s">
        <v>169</v>
      </c>
      <c r="AD21" s="147">
        <f>SUM(AD18:AD20)</f>
        <v>216280</v>
      </c>
      <c r="AE21" s="128" t="s">
        <v>169</v>
      </c>
      <c r="AF21" s="146">
        <f>SUM(AF18:AF20)</f>
        <v>223851.2</v>
      </c>
      <c r="AG21" s="139" t="s">
        <v>169</v>
      </c>
      <c r="AH21" s="147">
        <f>SUM(AH18:AH20)</f>
        <v>231725.24800000002</v>
      </c>
      <c r="AI21" s="128" t="s">
        <v>169</v>
      </c>
      <c r="AJ21" s="146">
        <f>SUM(AJ18:AJ20)</f>
        <v>239914.25792</v>
      </c>
      <c r="AK21" s="139" t="s">
        <v>169</v>
      </c>
      <c r="AL21" s="147">
        <f>SUM(AL18:AL20)</f>
        <v>248430.82823680001</v>
      </c>
    </row>
    <row r="22" spans="1:39" ht="14.45" x14ac:dyDescent="0.3">
      <c r="A22" s="5">
        <f t="shared" si="7"/>
        <v>17.9712</v>
      </c>
      <c r="B22" s="5">
        <f t="shared" si="0"/>
        <v>26.956800000000001</v>
      </c>
      <c r="C22" s="5">
        <f t="shared" si="1"/>
        <v>37380.095999999998</v>
      </c>
      <c r="D22" s="5">
        <f t="shared" si="2"/>
        <v>19624.5504</v>
      </c>
      <c r="E22" s="16">
        <f t="shared" si="8"/>
        <v>57004.646399999998</v>
      </c>
      <c r="F22" s="9"/>
      <c r="G22" s="9"/>
      <c r="H22" s="9"/>
      <c r="I22" s="9"/>
      <c r="J22" s="9" t="s">
        <v>18</v>
      </c>
      <c r="K22" s="9"/>
      <c r="L22" s="9"/>
      <c r="M22" s="9"/>
      <c r="N22" s="9"/>
      <c r="O22" s="9"/>
      <c r="P22" s="9" t="s">
        <v>18</v>
      </c>
      <c r="Q22" s="6"/>
      <c r="R22" s="6"/>
      <c r="S22" s="132">
        <v>1</v>
      </c>
      <c r="T22" s="1" t="s">
        <v>26</v>
      </c>
      <c r="U22" s="4">
        <v>100000</v>
      </c>
      <c r="V22" s="4">
        <v>125000</v>
      </c>
      <c r="W22" s="46">
        <f>SUM(S22*575*12)</f>
        <v>6900</v>
      </c>
      <c r="Z22" s="166">
        <f>SUM(Z15,Z18,AD26)</f>
        <v>1382846.7808000001</v>
      </c>
      <c r="AB22" s="166">
        <f>SUM(AB15,AB18,AD27)</f>
        <v>1636800.1168</v>
      </c>
      <c r="AD22" s="166">
        <f>SUM(AD15,AD18,AD28)</f>
        <v>1793579.3759999999</v>
      </c>
      <c r="AF22" s="166">
        <f>SUM(AF15,AF18,AD29)</f>
        <v>1920602.6560000002</v>
      </c>
      <c r="AH22" s="166">
        <f>SUM(AH15,AH18)</f>
        <v>2039924.5919999999</v>
      </c>
      <c r="AJ22" s="166">
        <f>SUM(AJ15,AJ18)</f>
        <v>2152340.3328</v>
      </c>
      <c r="AL22" s="166">
        <f>SUM(AL15,AL18)</f>
        <v>2246637.5328000002</v>
      </c>
    </row>
    <row r="23" spans="1:39" ht="14.45" x14ac:dyDescent="0.3">
      <c r="A23" s="5">
        <f t="shared" si="7"/>
        <v>19.011200000000002</v>
      </c>
      <c r="B23" s="5">
        <f t="shared" si="0"/>
        <v>28.516800000000003</v>
      </c>
      <c r="C23" s="5">
        <f t="shared" si="1"/>
        <v>39543.296000000002</v>
      </c>
      <c r="D23" s="5">
        <f t="shared" si="2"/>
        <v>20760.230400000004</v>
      </c>
      <c r="E23" s="16">
        <f t="shared" si="8"/>
        <v>60303.526400000002</v>
      </c>
      <c r="F23" s="9"/>
      <c r="G23" s="9"/>
      <c r="H23" s="9"/>
      <c r="I23" s="9"/>
      <c r="J23" s="9"/>
      <c r="K23" s="9" t="s">
        <v>18</v>
      </c>
      <c r="L23" s="9"/>
      <c r="M23" s="9"/>
      <c r="N23" s="9"/>
      <c r="O23" s="9"/>
      <c r="P23" s="9" t="s">
        <v>18</v>
      </c>
      <c r="Q23" s="6"/>
      <c r="R23" s="6"/>
      <c r="S23" s="25">
        <f>SUM(S12+S20+S21+S22)</f>
        <v>32</v>
      </c>
      <c r="T23" s="26" t="s">
        <v>23</v>
      </c>
      <c r="U23" s="27">
        <f>SUM(U13:U22)</f>
        <v>1888254.2207999998</v>
      </c>
      <c r="V23" s="27">
        <f>SUM(V13:V22)</f>
        <v>2790847.2608000003</v>
      </c>
      <c r="W23" s="47">
        <f>SUM(W13:W22)</f>
        <v>220800</v>
      </c>
      <c r="AB23" s="166">
        <f>SUM(AB22-Z22)</f>
        <v>253953.33599999989</v>
      </c>
      <c r="AD23" s="166">
        <f>SUM(AD22-AB22)</f>
        <v>156779.25919999997</v>
      </c>
      <c r="AF23" s="166">
        <f>SUM(AF22-AD22)</f>
        <v>127023.28000000026</v>
      </c>
      <c r="AH23" s="166">
        <f>SUM(AH22-AF22)</f>
        <v>119321.93599999975</v>
      </c>
      <c r="AJ23" s="166">
        <f>SUM(AJ22-AH22)</f>
        <v>112415.74080000003</v>
      </c>
      <c r="AL23" s="166">
        <f>SUM(AL22-AJ22)</f>
        <v>94297.200000000186</v>
      </c>
    </row>
    <row r="24" spans="1:39" ht="14.45" x14ac:dyDescent="0.3">
      <c r="A24" s="5">
        <f t="shared" si="7"/>
        <v>20.051200000000001</v>
      </c>
      <c r="B24" s="5">
        <f t="shared" si="0"/>
        <v>30.076800000000002</v>
      </c>
      <c r="C24" s="5">
        <f t="shared" si="1"/>
        <v>41706.496000000006</v>
      </c>
      <c r="D24" s="5">
        <f t="shared" si="2"/>
        <v>21895.910400000001</v>
      </c>
      <c r="E24" s="16">
        <f t="shared" si="8"/>
        <v>63602.406400000007</v>
      </c>
      <c r="F24" s="9"/>
      <c r="G24" s="9"/>
      <c r="H24" s="9"/>
      <c r="I24" s="9"/>
      <c r="J24" s="10"/>
      <c r="K24" s="9"/>
      <c r="L24" s="9" t="s">
        <v>18</v>
      </c>
      <c r="M24" s="9"/>
      <c r="N24" s="9"/>
      <c r="O24" s="9"/>
      <c r="P24" s="9" t="s">
        <v>18</v>
      </c>
      <c r="Q24" s="6"/>
      <c r="R24" s="6"/>
      <c r="S24" s="25"/>
    </row>
    <row r="25" spans="1:39" ht="14.45" x14ac:dyDescent="0.3">
      <c r="A25" s="5">
        <f t="shared" si="7"/>
        <v>21.091200000000001</v>
      </c>
      <c r="B25" s="5">
        <f t="shared" si="0"/>
        <v>31.636800000000001</v>
      </c>
      <c r="C25" s="5">
        <f t="shared" si="1"/>
        <v>43869.696000000004</v>
      </c>
      <c r="D25" s="5">
        <f t="shared" si="2"/>
        <v>23031.590400000001</v>
      </c>
      <c r="E25" s="16">
        <f t="shared" si="8"/>
        <v>66901.286400000012</v>
      </c>
      <c r="F25" s="9"/>
      <c r="G25" s="9"/>
      <c r="H25" s="9"/>
      <c r="I25" s="9"/>
      <c r="J25" s="10"/>
      <c r="K25" s="9"/>
      <c r="L25" s="9"/>
      <c r="M25" s="9" t="s">
        <v>18</v>
      </c>
      <c r="N25" s="9"/>
      <c r="O25" s="9"/>
      <c r="P25" s="9" t="s">
        <v>18</v>
      </c>
      <c r="Q25" s="6"/>
      <c r="R25" s="6"/>
      <c r="T25" s="35" t="s">
        <v>207</v>
      </c>
      <c r="U25" s="35" t="s">
        <v>37</v>
      </c>
      <c r="V25" s="35" t="s">
        <v>39</v>
      </c>
      <c r="W25" s="35" t="s">
        <v>30</v>
      </c>
      <c r="X25" s="39" t="s">
        <v>41</v>
      </c>
      <c r="AA25" s="132" t="s">
        <v>238</v>
      </c>
      <c r="AB25" s="132" t="s">
        <v>239</v>
      </c>
      <c r="AC25" s="132" t="s">
        <v>240</v>
      </c>
      <c r="AD25" s="132" t="s">
        <v>34</v>
      </c>
    </row>
    <row r="26" spans="1:39" ht="14.45" x14ac:dyDescent="0.3">
      <c r="A26" s="5">
        <f t="shared" ref="A26:A27" si="9">(A15*0.04)+A15</f>
        <v>22.1312</v>
      </c>
      <c r="B26" s="5">
        <f t="shared" si="0"/>
        <v>33.196799999999996</v>
      </c>
      <c r="C26" s="5">
        <f t="shared" si="1"/>
        <v>46032.896000000001</v>
      </c>
      <c r="D26" s="5">
        <f t="shared" si="2"/>
        <v>24167.270399999998</v>
      </c>
      <c r="E26" s="16">
        <f t="shared" si="8"/>
        <v>70200.166400000002</v>
      </c>
      <c r="F26" s="9"/>
      <c r="G26" s="9"/>
      <c r="H26" s="9"/>
      <c r="I26" s="9"/>
      <c r="J26" s="9"/>
      <c r="K26" s="9"/>
      <c r="L26" s="9"/>
      <c r="M26" s="9"/>
      <c r="N26" s="9" t="s">
        <v>18</v>
      </c>
      <c r="O26" s="9"/>
      <c r="P26" s="9" t="s">
        <v>18</v>
      </c>
      <c r="Q26" s="6"/>
      <c r="R26" s="6"/>
      <c r="S26" s="28" t="s">
        <v>38</v>
      </c>
      <c r="T26" s="34">
        <v>13.28</v>
      </c>
      <c r="U26" s="34">
        <v>0</v>
      </c>
      <c r="V26" s="34">
        <f>SUM(T26*104)</f>
        <v>1381.12</v>
      </c>
      <c r="W26" s="34">
        <f>SUM(T26*64)</f>
        <v>849.92</v>
      </c>
      <c r="X26" s="40">
        <f>SUM(U26:W26)</f>
        <v>2231.04</v>
      </c>
      <c r="Y26" s="160" t="s">
        <v>145</v>
      </c>
      <c r="Z26" t="s">
        <v>237</v>
      </c>
      <c r="AA26" s="25">
        <v>6</v>
      </c>
      <c r="AB26" s="161">
        <v>15</v>
      </c>
      <c r="AC26" s="25">
        <v>24</v>
      </c>
      <c r="AD26" s="161">
        <f>SUM(AB26*AC26*52*AA26)</f>
        <v>112320</v>
      </c>
    </row>
    <row r="27" spans="1:39" ht="14.45" x14ac:dyDescent="0.3">
      <c r="A27" s="5">
        <f t="shared" si="9"/>
        <v>23.171200000000002</v>
      </c>
      <c r="B27" s="5">
        <f t="shared" si="0"/>
        <v>34.756800000000005</v>
      </c>
      <c r="C27" s="5">
        <f t="shared" si="1"/>
        <v>48196.096000000005</v>
      </c>
      <c r="D27" s="5">
        <f t="shared" si="2"/>
        <v>25302.950400000005</v>
      </c>
      <c r="E27" s="16">
        <f t="shared" si="8"/>
        <v>73499.046400000007</v>
      </c>
      <c r="F27" s="9"/>
      <c r="G27" s="9"/>
      <c r="H27" s="9"/>
      <c r="I27" s="9"/>
      <c r="J27" s="9"/>
      <c r="K27" s="9"/>
      <c r="L27" s="9"/>
      <c r="M27" s="9"/>
      <c r="N27" s="9"/>
      <c r="O27" s="9" t="s">
        <v>18</v>
      </c>
      <c r="P27" s="9" t="s">
        <v>18</v>
      </c>
      <c r="Q27" s="6"/>
      <c r="R27" s="6"/>
      <c r="S27" s="28" t="s">
        <v>2</v>
      </c>
      <c r="T27" s="34">
        <v>13.78</v>
      </c>
      <c r="U27" s="34">
        <f>SUM(T27*112)</f>
        <v>1543.36</v>
      </c>
      <c r="V27" s="34">
        <f t="shared" ref="V27:V36" si="10">SUM(T27*104)</f>
        <v>1433.12</v>
      </c>
      <c r="W27" s="34">
        <f t="shared" ref="W27:W36" si="11">SUM(T27*64)</f>
        <v>881.92</v>
      </c>
      <c r="X27" s="40">
        <f>SUM(U27:W27)</f>
        <v>3858.3999999999996</v>
      </c>
      <c r="Y27" s="160" t="s">
        <v>146</v>
      </c>
      <c r="Z27" t="s">
        <v>237</v>
      </c>
      <c r="AA27" s="25">
        <v>5</v>
      </c>
      <c r="AB27" s="161">
        <v>15</v>
      </c>
      <c r="AC27" s="25">
        <v>24</v>
      </c>
      <c r="AD27" s="161">
        <f t="shared" ref="AD27:AD29" si="12">SUM(AB27*AC27*52*AA27)</f>
        <v>93600</v>
      </c>
    </row>
    <row r="28" spans="1:39" ht="15.6" x14ac:dyDescent="0.3">
      <c r="A28" s="19">
        <f t="shared" ref="A28:A36" si="13">(A6*0.14)+A6</f>
        <v>15.139199999999999</v>
      </c>
      <c r="B28" s="19">
        <f t="shared" si="0"/>
        <v>22.708799999999997</v>
      </c>
      <c r="C28" s="19">
        <f t="shared" si="1"/>
        <v>31489.535999999996</v>
      </c>
      <c r="D28" s="19">
        <f t="shared" si="2"/>
        <v>16532.006399999998</v>
      </c>
      <c r="E28" s="17">
        <f t="shared" si="8"/>
        <v>48021.542399999991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 t="s">
        <v>18</v>
      </c>
      <c r="Q28" s="11" t="s">
        <v>18</v>
      </c>
      <c r="R28" s="6"/>
      <c r="S28" s="28" t="s">
        <v>3</v>
      </c>
      <c r="T28" s="34">
        <v>14.53</v>
      </c>
      <c r="U28" s="34">
        <f>SUM(T28*160)</f>
        <v>2324.7999999999997</v>
      </c>
      <c r="V28" s="34">
        <f t="shared" si="10"/>
        <v>1511.12</v>
      </c>
      <c r="W28" s="34">
        <f t="shared" si="11"/>
        <v>929.92</v>
      </c>
      <c r="X28" s="40">
        <f t="shared" ref="X28:X36" si="14">SUM(U28:W28)</f>
        <v>4765.8399999999992</v>
      </c>
      <c r="Y28" s="160" t="s">
        <v>147</v>
      </c>
      <c r="Z28" t="s">
        <v>237</v>
      </c>
      <c r="AA28" s="25">
        <v>3</v>
      </c>
      <c r="AB28" s="161">
        <v>15</v>
      </c>
      <c r="AC28" s="25">
        <v>24</v>
      </c>
      <c r="AD28" s="161">
        <f t="shared" si="12"/>
        <v>56160</v>
      </c>
      <c r="AH28" s="170"/>
    </row>
    <row r="29" spans="1:39" ht="14.45" x14ac:dyDescent="0.3">
      <c r="A29" s="19">
        <f t="shared" si="13"/>
        <v>15.709199999999999</v>
      </c>
      <c r="B29" s="19">
        <f t="shared" si="0"/>
        <v>23.563800000000001</v>
      </c>
      <c r="C29" s="19">
        <f t="shared" si="1"/>
        <v>32675.135999999999</v>
      </c>
      <c r="D29" s="19">
        <f t="shared" si="2"/>
        <v>17154.446400000001</v>
      </c>
      <c r="E29" s="17">
        <f t="shared" si="8"/>
        <v>49829.582399999999</v>
      </c>
      <c r="F29" s="11" t="s">
        <v>18</v>
      </c>
      <c r="G29" s="11"/>
      <c r="H29" s="11"/>
      <c r="I29" s="11"/>
      <c r="J29" s="11"/>
      <c r="K29" s="11"/>
      <c r="L29" s="11"/>
      <c r="M29" s="11"/>
      <c r="N29" s="11"/>
      <c r="O29" s="11"/>
      <c r="P29" s="11" t="s">
        <v>18</v>
      </c>
      <c r="Q29" s="11" t="s">
        <v>18</v>
      </c>
      <c r="R29" s="6"/>
      <c r="S29" s="28" t="s">
        <v>4</v>
      </c>
      <c r="T29" s="34">
        <v>15.28</v>
      </c>
      <c r="U29" s="34">
        <f t="shared" ref="U29:U31" si="15">SUM(T29*160)</f>
        <v>2444.7999999999997</v>
      </c>
      <c r="V29" s="34">
        <f t="shared" si="10"/>
        <v>1589.12</v>
      </c>
      <c r="W29" s="34">
        <f t="shared" si="11"/>
        <v>977.92</v>
      </c>
      <c r="X29" s="40">
        <f t="shared" si="14"/>
        <v>5011.8399999999992</v>
      </c>
      <c r="Y29" s="160" t="s">
        <v>148</v>
      </c>
      <c r="Z29" t="s">
        <v>237</v>
      </c>
      <c r="AA29" s="25">
        <v>1</v>
      </c>
      <c r="AB29" s="161">
        <v>15</v>
      </c>
      <c r="AC29" s="25">
        <v>24</v>
      </c>
      <c r="AD29" s="161">
        <f t="shared" si="12"/>
        <v>18720</v>
      </c>
    </row>
    <row r="30" spans="1:39" ht="14.45" x14ac:dyDescent="0.3">
      <c r="A30" s="19">
        <f t="shared" si="13"/>
        <v>16.5642</v>
      </c>
      <c r="B30" s="19">
        <f t="shared" si="0"/>
        <v>24.846299999999999</v>
      </c>
      <c r="C30" s="19">
        <f t="shared" si="1"/>
        <v>34453.536</v>
      </c>
      <c r="D30" s="19">
        <f t="shared" si="2"/>
        <v>18088.106400000001</v>
      </c>
      <c r="E30" s="17">
        <f t="shared" si="8"/>
        <v>52541.642399999997</v>
      </c>
      <c r="F30" s="11"/>
      <c r="G30" s="11" t="s">
        <v>18</v>
      </c>
      <c r="H30" s="11"/>
      <c r="I30" s="11"/>
      <c r="J30" s="11"/>
      <c r="K30" s="11"/>
      <c r="L30" s="11"/>
      <c r="M30" s="11"/>
      <c r="N30" s="11"/>
      <c r="O30" s="11"/>
      <c r="P30" s="11" t="s">
        <v>18</v>
      </c>
      <c r="Q30" s="11" t="s">
        <v>18</v>
      </c>
      <c r="R30" s="6"/>
      <c r="S30" s="28" t="s">
        <v>5</v>
      </c>
      <c r="T30" s="34">
        <v>16.28</v>
      </c>
      <c r="U30" s="34">
        <f t="shared" si="15"/>
        <v>2604.8000000000002</v>
      </c>
      <c r="V30" s="34">
        <f t="shared" si="10"/>
        <v>1693.1200000000001</v>
      </c>
      <c r="W30" s="34">
        <f t="shared" si="11"/>
        <v>1041.92</v>
      </c>
      <c r="X30" s="40">
        <f t="shared" si="14"/>
        <v>5339.84</v>
      </c>
      <c r="AA30" s="25"/>
    </row>
    <row r="31" spans="1:39" ht="14.45" x14ac:dyDescent="0.3">
      <c r="A31" s="19">
        <f t="shared" si="13"/>
        <v>17.4192</v>
      </c>
      <c r="B31" s="19">
        <f t="shared" si="0"/>
        <v>26.128799999999998</v>
      </c>
      <c r="C31" s="19">
        <f t="shared" si="1"/>
        <v>36231.936000000002</v>
      </c>
      <c r="D31" s="19">
        <f t="shared" si="2"/>
        <v>19021.7664</v>
      </c>
      <c r="E31" s="17">
        <f t="shared" si="8"/>
        <v>55253.702400000002</v>
      </c>
      <c r="F31" s="11"/>
      <c r="G31" s="11"/>
      <c r="H31" s="11" t="s">
        <v>18</v>
      </c>
      <c r="I31" s="11"/>
      <c r="J31" s="11"/>
      <c r="K31" s="11"/>
      <c r="L31" s="11"/>
      <c r="M31" s="11"/>
      <c r="N31" s="11"/>
      <c r="O31" s="11"/>
      <c r="P31" s="11" t="s">
        <v>18</v>
      </c>
      <c r="Q31" s="11" t="s">
        <v>18</v>
      </c>
      <c r="R31" s="6"/>
      <c r="S31" s="28" t="s">
        <v>6</v>
      </c>
      <c r="T31" s="34">
        <v>17.28</v>
      </c>
      <c r="U31" s="34">
        <f t="shared" si="15"/>
        <v>2764.8</v>
      </c>
      <c r="V31" s="34">
        <f t="shared" si="10"/>
        <v>1797.1200000000001</v>
      </c>
      <c r="W31" s="34">
        <f t="shared" si="11"/>
        <v>1105.92</v>
      </c>
      <c r="X31" s="40">
        <f t="shared" si="14"/>
        <v>5667.84</v>
      </c>
      <c r="AA31"/>
    </row>
    <row r="32" spans="1:39" ht="14.45" x14ac:dyDescent="0.3">
      <c r="A32" s="19">
        <f t="shared" si="13"/>
        <v>18.559200000000001</v>
      </c>
      <c r="B32" s="19">
        <f t="shared" si="0"/>
        <v>27.838799999999999</v>
      </c>
      <c r="C32" s="19">
        <f t="shared" si="1"/>
        <v>38603.135999999999</v>
      </c>
      <c r="D32" s="19">
        <f t="shared" si="2"/>
        <v>20266.646399999998</v>
      </c>
      <c r="E32" s="17">
        <f t="shared" si="8"/>
        <v>58869.782399999996</v>
      </c>
      <c r="F32" s="11"/>
      <c r="G32" s="11"/>
      <c r="H32" s="11"/>
      <c r="I32" s="11" t="s">
        <v>18</v>
      </c>
      <c r="J32" s="11"/>
      <c r="K32" s="11"/>
      <c r="L32" s="11"/>
      <c r="M32" s="11"/>
      <c r="N32" s="11"/>
      <c r="O32" s="11"/>
      <c r="P32" s="11" t="s">
        <v>18</v>
      </c>
      <c r="Q32" s="11" t="s">
        <v>18</v>
      </c>
      <c r="R32" s="6"/>
      <c r="S32" s="28" t="s">
        <v>7</v>
      </c>
      <c r="T32" s="34">
        <v>18.28</v>
      </c>
      <c r="U32" s="34">
        <f>SUM(T32*208)</f>
        <v>3802.2400000000002</v>
      </c>
      <c r="V32" s="34">
        <f t="shared" si="10"/>
        <v>1901.1200000000001</v>
      </c>
      <c r="W32" s="34">
        <f t="shared" si="11"/>
        <v>1169.92</v>
      </c>
      <c r="X32" s="40">
        <f t="shared" si="14"/>
        <v>6873.2800000000007</v>
      </c>
      <c r="AA32"/>
    </row>
    <row r="33" spans="1:27" ht="14.45" x14ac:dyDescent="0.3">
      <c r="A33" s="19">
        <f t="shared" si="13"/>
        <v>19.699200000000001</v>
      </c>
      <c r="B33" s="19">
        <f t="shared" si="0"/>
        <v>29.5488</v>
      </c>
      <c r="C33" s="19">
        <f t="shared" si="1"/>
        <v>40974.336000000003</v>
      </c>
      <c r="D33" s="19">
        <f t="shared" si="2"/>
        <v>21511.526399999999</v>
      </c>
      <c r="E33" s="17">
        <f t="shared" si="8"/>
        <v>62485.862399999998</v>
      </c>
      <c r="F33" s="11"/>
      <c r="G33" s="11"/>
      <c r="H33" s="11"/>
      <c r="I33" s="11"/>
      <c r="J33" s="11" t="s">
        <v>18</v>
      </c>
      <c r="K33" s="11"/>
      <c r="L33" s="11"/>
      <c r="M33" s="11"/>
      <c r="N33" s="11"/>
      <c r="O33" s="11"/>
      <c r="P33" s="11" t="s">
        <v>18</v>
      </c>
      <c r="Q33" s="11" t="s">
        <v>18</v>
      </c>
      <c r="R33" s="6"/>
      <c r="S33" s="28" t="s">
        <v>8</v>
      </c>
      <c r="T33" s="34">
        <v>19.28</v>
      </c>
      <c r="U33" s="34">
        <f t="shared" ref="U33:U36" si="16">SUM(T33*208)</f>
        <v>4010.2400000000002</v>
      </c>
      <c r="V33" s="34">
        <f t="shared" si="10"/>
        <v>2005.1200000000001</v>
      </c>
      <c r="W33" s="34">
        <f t="shared" si="11"/>
        <v>1233.92</v>
      </c>
      <c r="X33" s="40">
        <f t="shared" si="14"/>
        <v>7249.2800000000007</v>
      </c>
      <c r="AA33"/>
    </row>
    <row r="34" spans="1:27" ht="14.45" x14ac:dyDescent="0.3">
      <c r="A34" s="19">
        <f t="shared" si="13"/>
        <v>20.839200000000002</v>
      </c>
      <c r="B34" s="19">
        <f t="shared" si="0"/>
        <v>31.258800000000001</v>
      </c>
      <c r="C34" s="19">
        <f t="shared" si="1"/>
        <v>43345.536</v>
      </c>
      <c r="D34" s="19">
        <f t="shared" si="2"/>
        <v>22756.4064</v>
      </c>
      <c r="E34" s="17">
        <f t="shared" si="8"/>
        <v>66101.9424</v>
      </c>
      <c r="F34" s="11"/>
      <c r="G34" s="11"/>
      <c r="H34" s="11"/>
      <c r="I34" s="11"/>
      <c r="J34" s="11"/>
      <c r="K34" s="11" t="s">
        <v>18</v>
      </c>
      <c r="L34" s="11"/>
      <c r="M34" s="11"/>
      <c r="N34" s="11"/>
      <c r="O34" s="11"/>
      <c r="P34" s="11" t="s">
        <v>18</v>
      </c>
      <c r="Q34" s="11" t="s">
        <v>18</v>
      </c>
      <c r="R34" s="6"/>
      <c r="S34" s="28" t="s">
        <v>9</v>
      </c>
      <c r="T34" s="34">
        <v>20.28</v>
      </c>
      <c r="U34" s="34">
        <f t="shared" si="16"/>
        <v>4218.24</v>
      </c>
      <c r="V34" s="34">
        <f t="shared" si="10"/>
        <v>2109.12</v>
      </c>
      <c r="W34" s="34">
        <f t="shared" si="11"/>
        <v>1297.92</v>
      </c>
      <c r="X34" s="40">
        <f t="shared" si="14"/>
        <v>7625.28</v>
      </c>
      <c r="AA34"/>
    </row>
    <row r="35" spans="1:27" ht="14.45" x14ac:dyDescent="0.3">
      <c r="A35" s="19">
        <f t="shared" si="13"/>
        <v>21.979200000000002</v>
      </c>
      <c r="B35" s="19">
        <f t="shared" si="0"/>
        <v>32.968800000000002</v>
      </c>
      <c r="C35" s="19">
        <f t="shared" si="1"/>
        <v>45716.736000000004</v>
      </c>
      <c r="D35" s="19">
        <f t="shared" si="2"/>
        <v>24001.286400000001</v>
      </c>
      <c r="E35" s="17">
        <f t="shared" si="8"/>
        <v>69718.022400000002</v>
      </c>
      <c r="F35" s="11"/>
      <c r="G35" s="11"/>
      <c r="H35" s="11"/>
      <c r="I35" s="11"/>
      <c r="J35" s="11"/>
      <c r="K35" s="11"/>
      <c r="L35" s="11" t="s">
        <v>18</v>
      </c>
      <c r="M35" s="11"/>
      <c r="N35" s="11"/>
      <c r="O35" s="11"/>
      <c r="P35" s="11" t="s">
        <v>18</v>
      </c>
      <c r="Q35" s="11" t="s">
        <v>18</v>
      </c>
      <c r="R35" s="6"/>
      <c r="S35" s="28" t="s">
        <v>10</v>
      </c>
      <c r="T35" s="34">
        <v>21.28</v>
      </c>
      <c r="U35" s="34">
        <f t="shared" si="16"/>
        <v>4426.24</v>
      </c>
      <c r="V35" s="34">
        <f t="shared" si="10"/>
        <v>2213.12</v>
      </c>
      <c r="W35" s="34">
        <f t="shared" si="11"/>
        <v>1361.92</v>
      </c>
      <c r="X35" s="40">
        <f t="shared" si="14"/>
        <v>8001.28</v>
      </c>
      <c r="AA35"/>
    </row>
    <row r="36" spans="1:27" ht="14.45" x14ac:dyDescent="0.3">
      <c r="A36" s="19">
        <f t="shared" si="13"/>
        <v>23.119200000000003</v>
      </c>
      <c r="B36" s="19">
        <f t="shared" si="0"/>
        <v>34.678800000000003</v>
      </c>
      <c r="C36" s="19">
        <f t="shared" si="1"/>
        <v>48087.936000000009</v>
      </c>
      <c r="D36" s="19">
        <f t="shared" si="2"/>
        <v>25246.166400000002</v>
      </c>
      <c r="E36" s="17">
        <f t="shared" si="8"/>
        <v>73334.102400000003</v>
      </c>
      <c r="F36" s="11"/>
      <c r="G36" s="11"/>
      <c r="H36" s="11"/>
      <c r="I36" s="11"/>
      <c r="J36" s="11"/>
      <c r="K36" s="11"/>
      <c r="L36" s="11"/>
      <c r="M36" s="11" t="s">
        <v>18</v>
      </c>
      <c r="N36" s="11"/>
      <c r="O36" s="11"/>
      <c r="P36" s="11" t="s">
        <v>18</v>
      </c>
      <c r="Q36" s="11" t="s">
        <v>18</v>
      </c>
      <c r="R36" s="12"/>
      <c r="S36" s="28" t="s">
        <v>11</v>
      </c>
      <c r="T36" s="34">
        <v>22.28</v>
      </c>
      <c r="U36" s="34">
        <f t="shared" si="16"/>
        <v>4634.24</v>
      </c>
      <c r="V36" s="34">
        <f t="shared" si="10"/>
        <v>2317.12</v>
      </c>
      <c r="W36" s="34">
        <f t="shared" si="11"/>
        <v>1425.92</v>
      </c>
      <c r="X36" s="40">
        <f t="shared" si="14"/>
        <v>8377.2799999999988</v>
      </c>
      <c r="AA36"/>
    </row>
    <row r="37" spans="1:27" ht="14.45" x14ac:dyDescent="0.3">
      <c r="A37" s="19">
        <f t="shared" ref="A37:A38" si="17">(A15*0.14)+A15</f>
        <v>24.2592</v>
      </c>
      <c r="B37" s="19">
        <f t="shared" si="0"/>
        <v>36.388800000000003</v>
      </c>
      <c r="C37" s="19">
        <f t="shared" si="1"/>
        <v>50459.135999999999</v>
      </c>
      <c r="D37" s="19">
        <f t="shared" si="2"/>
        <v>26491.046400000003</v>
      </c>
      <c r="E37" s="17">
        <f t="shared" si="8"/>
        <v>76950.182400000005</v>
      </c>
      <c r="F37" s="11"/>
      <c r="G37" s="11"/>
      <c r="H37" s="11"/>
      <c r="I37" s="11"/>
      <c r="J37" s="11"/>
      <c r="K37" s="11"/>
      <c r="L37" s="11"/>
      <c r="M37" s="11"/>
      <c r="N37" s="11" t="s">
        <v>18</v>
      </c>
      <c r="O37" s="11"/>
      <c r="P37" s="11" t="s">
        <v>18</v>
      </c>
      <c r="Q37" s="11" t="s">
        <v>18</v>
      </c>
      <c r="R37" s="12"/>
      <c r="AA37"/>
    </row>
    <row r="38" spans="1:27" ht="14.45" x14ac:dyDescent="0.3">
      <c r="A38" s="19">
        <f t="shared" si="17"/>
        <v>25.3992</v>
      </c>
      <c r="B38" s="19">
        <f t="shared" si="0"/>
        <v>38.098799999999997</v>
      </c>
      <c r="C38" s="19">
        <f t="shared" si="1"/>
        <v>52830.336000000003</v>
      </c>
      <c r="D38" s="19">
        <f t="shared" si="2"/>
        <v>27735.926399999997</v>
      </c>
      <c r="E38" s="17">
        <f t="shared" si="8"/>
        <v>80566.262400000007</v>
      </c>
      <c r="F38" s="11"/>
      <c r="G38" s="11"/>
      <c r="H38" s="11"/>
      <c r="I38" s="11"/>
      <c r="J38" s="11"/>
      <c r="K38" s="11"/>
      <c r="L38" s="11"/>
      <c r="M38" s="11"/>
      <c r="N38" s="11"/>
      <c r="O38" s="11" t="s">
        <v>18</v>
      </c>
      <c r="P38" s="11" t="s">
        <v>18</v>
      </c>
      <c r="Q38" s="11" t="s">
        <v>18</v>
      </c>
      <c r="R38" s="12"/>
      <c r="T38" s="35" t="s">
        <v>40</v>
      </c>
      <c r="U38" s="35" t="s">
        <v>37</v>
      </c>
      <c r="V38" s="35" t="s">
        <v>39</v>
      </c>
      <c r="W38" s="35" t="s">
        <v>30</v>
      </c>
      <c r="X38" s="39" t="s">
        <v>41</v>
      </c>
      <c r="AA38"/>
    </row>
    <row r="39" spans="1:27" ht="14.45" x14ac:dyDescent="0.3">
      <c r="A39" s="20">
        <f t="shared" ref="A39:A47" si="18">(A6*0.24)+A6</f>
        <v>16.467199999999998</v>
      </c>
      <c r="B39" s="20">
        <f t="shared" si="0"/>
        <v>24.700799999999997</v>
      </c>
      <c r="C39" s="20">
        <f t="shared" si="1"/>
        <v>34251.775999999998</v>
      </c>
      <c r="D39" s="20">
        <f t="shared" si="2"/>
        <v>17982.182399999998</v>
      </c>
      <c r="E39" s="18">
        <f t="shared" si="8"/>
        <v>52233.958399999996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 t="s">
        <v>18</v>
      </c>
      <c r="Q39" s="13" t="s">
        <v>18</v>
      </c>
      <c r="R39" s="13" t="s">
        <v>18</v>
      </c>
      <c r="S39" s="28" t="s">
        <v>38</v>
      </c>
      <c r="T39" s="5">
        <v>13.811199999999999</v>
      </c>
      <c r="U39" s="5">
        <v>0</v>
      </c>
      <c r="V39" s="5">
        <f>SUM(T39*104)</f>
        <v>1436.3647999999998</v>
      </c>
      <c r="W39" s="5">
        <f>SUM(T39*64)</f>
        <v>883.91679999999997</v>
      </c>
      <c r="X39" s="41">
        <f>SUM(U39:W39)</f>
        <v>2320.2815999999998</v>
      </c>
      <c r="AA39"/>
    </row>
    <row r="40" spans="1:27" ht="14.45" x14ac:dyDescent="0.3">
      <c r="A40" s="20">
        <f t="shared" si="18"/>
        <v>17.087199999999999</v>
      </c>
      <c r="B40" s="20">
        <f t="shared" si="0"/>
        <v>25.630800000000001</v>
      </c>
      <c r="C40" s="20">
        <f t="shared" si="1"/>
        <v>35541.375999999997</v>
      </c>
      <c r="D40" s="20">
        <f t="shared" si="2"/>
        <v>18659.222399999999</v>
      </c>
      <c r="E40" s="18">
        <f t="shared" si="8"/>
        <v>54200.598399999995</v>
      </c>
      <c r="F40" s="13" t="s">
        <v>18</v>
      </c>
      <c r="G40" s="13"/>
      <c r="H40" s="13"/>
      <c r="I40" s="13"/>
      <c r="J40" s="13"/>
      <c r="K40" s="13"/>
      <c r="L40" s="13"/>
      <c r="M40" s="13"/>
      <c r="N40" s="13"/>
      <c r="O40" s="13"/>
      <c r="P40" s="13" t="s">
        <v>18</v>
      </c>
      <c r="Q40" s="13" t="s">
        <v>18</v>
      </c>
      <c r="R40" s="13" t="s">
        <v>18</v>
      </c>
      <c r="S40" s="28" t="s">
        <v>2</v>
      </c>
      <c r="T40" s="5">
        <v>14.331199999999999</v>
      </c>
      <c r="U40" s="5">
        <f>SUM(T40*112)</f>
        <v>1605.0944</v>
      </c>
      <c r="V40" s="5">
        <f t="shared" ref="V40:V49" si="19">SUM(T40*104)</f>
        <v>1490.4448</v>
      </c>
      <c r="W40" s="5">
        <f t="shared" ref="W40:W49" si="20">SUM(T40*64)</f>
        <v>917.19679999999994</v>
      </c>
      <c r="X40" s="41">
        <f t="shared" ref="X40:X49" si="21">SUM(U40:W40)</f>
        <v>4012.7359999999999</v>
      </c>
      <c r="AA40"/>
    </row>
    <row r="41" spans="1:27" ht="14.45" x14ac:dyDescent="0.3">
      <c r="A41" s="20">
        <f t="shared" si="18"/>
        <v>18.017199999999999</v>
      </c>
      <c r="B41" s="20">
        <f t="shared" si="0"/>
        <v>27.025799999999997</v>
      </c>
      <c r="C41" s="20">
        <f t="shared" si="1"/>
        <v>37475.775999999998</v>
      </c>
      <c r="D41" s="20">
        <f t="shared" si="2"/>
        <v>19674.782399999996</v>
      </c>
      <c r="E41" s="18">
        <f t="shared" si="8"/>
        <v>57150.558399999994</v>
      </c>
      <c r="F41" s="13"/>
      <c r="G41" s="13" t="s">
        <v>18</v>
      </c>
      <c r="H41" s="13"/>
      <c r="I41" s="13"/>
      <c r="J41" s="13"/>
      <c r="K41" s="13"/>
      <c r="L41" s="13"/>
      <c r="M41" s="13"/>
      <c r="N41" s="13"/>
      <c r="O41" s="13"/>
      <c r="P41" s="13" t="s">
        <v>18</v>
      </c>
      <c r="Q41" s="13" t="s">
        <v>18</v>
      </c>
      <c r="R41" s="13" t="s">
        <v>18</v>
      </c>
      <c r="S41" s="28" t="s">
        <v>3</v>
      </c>
      <c r="T41" s="5">
        <v>15.1112</v>
      </c>
      <c r="U41" s="5">
        <f>SUM(T41*160)</f>
        <v>2417.7919999999999</v>
      </c>
      <c r="V41" s="5">
        <f t="shared" si="19"/>
        <v>1571.5648000000001</v>
      </c>
      <c r="W41" s="5">
        <f t="shared" si="20"/>
        <v>967.11680000000001</v>
      </c>
      <c r="X41" s="41">
        <f t="shared" si="21"/>
        <v>4956.4736000000003</v>
      </c>
      <c r="AA41"/>
    </row>
    <row r="42" spans="1:27" ht="14.45" x14ac:dyDescent="0.3">
      <c r="A42" s="20">
        <f t="shared" si="18"/>
        <v>18.947199999999999</v>
      </c>
      <c r="B42" s="20">
        <f t="shared" si="0"/>
        <v>28.4208</v>
      </c>
      <c r="C42" s="20">
        <f t="shared" si="1"/>
        <v>39410.175999999999</v>
      </c>
      <c r="D42" s="20">
        <f t="shared" si="2"/>
        <v>20690.342400000001</v>
      </c>
      <c r="E42" s="18">
        <f t="shared" si="8"/>
        <v>60100.518400000001</v>
      </c>
      <c r="F42" s="13"/>
      <c r="G42" s="13"/>
      <c r="H42" s="13" t="s">
        <v>18</v>
      </c>
      <c r="I42" s="13"/>
      <c r="J42" s="13"/>
      <c r="K42" s="13"/>
      <c r="L42" s="13"/>
      <c r="M42" s="13"/>
      <c r="N42" s="13"/>
      <c r="O42" s="13"/>
      <c r="P42" s="13" t="s">
        <v>18</v>
      </c>
      <c r="Q42" s="13" t="s">
        <v>18</v>
      </c>
      <c r="R42" s="13" t="s">
        <v>18</v>
      </c>
      <c r="S42" s="28" t="s">
        <v>4</v>
      </c>
      <c r="T42" s="5">
        <v>15.8912</v>
      </c>
      <c r="U42" s="5">
        <f t="shared" ref="U42:U44" si="22">SUM(T42*160)</f>
        <v>2542.5920000000001</v>
      </c>
      <c r="V42" s="5">
        <f t="shared" si="19"/>
        <v>1652.6848</v>
      </c>
      <c r="W42" s="5">
        <f t="shared" si="20"/>
        <v>1017.0368</v>
      </c>
      <c r="X42" s="41">
        <f t="shared" si="21"/>
        <v>5212.3135999999995</v>
      </c>
      <c r="AA42"/>
    </row>
    <row r="43" spans="1:27" ht="14.45" x14ac:dyDescent="0.3">
      <c r="A43" s="20">
        <f t="shared" si="18"/>
        <v>20.187200000000001</v>
      </c>
      <c r="B43" s="20">
        <f t="shared" si="0"/>
        <v>30.280799999999999</v>
      </c>
      <c r="C43" s="20">
        <f t="shared" si="1"/>
        <v>41989.376000000004</v>
      </c>
      <c r="D43" s="20">
        <f t="shared" si="2"/>
        <v>22044.422399999999</v>
      </c>
      <c r="E43" s="18">
        <f t="shared" si="8"/>
        <v>64033.7984</v>
      </c>
      <c r="F43" s="13"/>
      <c r="G43" s="13"/>
      <c r="H43" s="13"/>
      <c r="I43" s="13" t="s">
        <v>18</v>
      </c>
      <c r="J43" s="13"/>
      <c r="K43" s="13"/>
      <c r="L43" s="13"/>
      <c r="M43" s="13"/>
      <c r="N43" s="13"/>
      <c r="O43" s="13"/>
      <c r="P43" s="13" t="s">
        <v>18</v>
      </c>
      <c r="Q43" s="13" t="s">
        <v>18</v>
      </c>
      <c r="R43" s="13" t="s">
        <v>18</v>
      </c>
      <c r="S43" s="28" t="s">
        <v>5</v>
      </c>
      <c r="T43" s="5">
        <v>16.9312</v>
      </c>
      <c r="U43" s="5">
        <f t="shared" si="22"/>
        <v>2708.9920000000002</v>
      </c>
      <c r="V43" s="5">
        <f t="shared" si="19"/>
        <v>1760.8448000000001</v>
      </c>
      <c r="W43" s="5">
        <f t="shared" si="20"/>
        <v>1083.5968</v>
      </c>
      <c r="X43" s="41">
        <f t="shared" si="21"/>
        <v>5553.4336000000003</v>
      </c>
      <c r="AA43"/>
    </row>
    <row r="44" spans="1:27" ht="14.45" x14ac:dyDescent="0.3">
      <c r="A44" s="20">
        <f t="shared" si="18"/>
        <v>21.427199999999999</v>
      </c>
      <c r="B44" s="20">
        <f t="shared" si="0"/>
        <v>32.140799999999999</v>
      </c>
      <c r="C44" s="20">
        <f t="shared" si="1"/>
        <v>44568.576000000001</v>
      </c>
      <c r="D44" s="20">
        <f t="shared" si="2"/>
        <v>23398.502399999998</v>
      </c>
      <c r="E44" s="18">
        <f t="shared" si="8"/>
        <v>67967.078399999999</v>
      </c>
      <c r="F44" s="13"/>
      <c r="G44" s="13"/>
      <c r="H44" s="13"/>
      <c r="I44" s="13"/>
      <c r="J44" s="13" t="s">
        <v>18</v>
      </c>
      <c r="K44" s="13"/>
      <c r="L44" s="13"/>
      <c r="M44" s="13"/>
      <c r="N44" s="13"/>
      <c r="O44" s="13"/>
      <c r="P44" s="13" t="s">
        <v>18</v>
      </c>
      <c r="Q44" s="13" t="s">
        <v>18</v>
      </c>
      <c r="R44" s="13" t="s">
        <v>18</v>
      </c>
      <c r="S44" s="28" t="s">
        <v>6</v>
      </c>
      <c r="T44" s="5">
        <v>17.9712</v>
      </c>
      <c r="U44" s="5">
        <f t="shared" si="22"/>
        <v>2875.3919999999998</v>
      </c>
      <c r="V44" s="5">
        <f t="shared" si="19"/>
        <v>1869.0047999999999</v>
      </c>
      <c r="W44" s="5">
        <f t="shared" si="20"/>
        <v>1150.1568</v>
      </c>
      <c r="X44" s="41">
        <f t="shared" si="21"/>
        <v>5894.5535999999993</v>
      </c>
      <c r="AA44"/>
    </row>
    <row r="45" spans="1:27" ht="14.45" x14ac:dyDescent="0.3">
      <c r="A45" s="20">
        <f t="shared" si="18"/>
        <v>22.667200000000001</v>
      </c>
      <c r="B45" s="20">
        <f t="shared" si="0"/>
        <v>34.000799999999998</v>
      </c>
      <c r="C45" s="20">
        <f t="shared" si="1"/>
        <v>47147.776000000005</v>
      </c>
      <c r="D45" s="20">
        <f t="shared" si="2"/>
        <v>24752.582399999999</v>
      </c>
      <c r="E45" s="18">
        <f t="shared" si="8"/>
        <v>71900.358399999997</v>
      </c>
      <c r="F45" s="13"/>
      <c r="G45" s="13"/>
      <c r="H45" s="13"/>
      <c r="I45" s="13"/>
      <c r="J45" s="13"/>
      <c r="K45" s="13" t="s">
        <v>18</v>
      </c>
      <c r="L45" s="13"/>
      <c r="M45" s="13"/>
      <c r="N45" s="13"/>
      <c r="O45" s="13"/>
      <c r="P45" s="13" t="s">
        <v>18</v>
      </c>
      <c r="Q45" s="13" t="s">
        <v>18</v>
      </c>
      <c r="R45" s="13" t="s">
        <v>18</v>
      </c>
      <c r="S45" s="28" t="s">
        <v>7</v>
      </c>
      <c r="T45" s="5">
        <v>19.011200000000002</v>
      </c>
      <c r="U45" s="5">
        <f>SUM(T45*208)</f>
        <v>3954.3296000000005</v>
      </c>
      <c r="V45" s="5">
        <f t="shared" si="19"/>
        <v>1977.1648000000002</v>
      </c>
      <c r="W45" s="5">
        <f t="shared" si="20"/>
        <v>1216.7168000000001</v>
      </c>
      <c r="X45" s="41">
        <f t="shared" si="21"/>
        <v>7148.2112000000006</v>
      </c>
      <c r="AA45"/>
    </row>
    <row r="46" spans="1:27" ht="14.45" x14ac:dyDescent="0.3">
      <c r="A46" s="20">
        <f t="shared" si="18"/>
        <v>23.907200000000003</v>
      </c>
      <c r="B46" s="20">
        <f t="shared" si="0"/>
        <v>35.860800000000005</v>
      </c>
      <c r="C46" s="20">
        <f t="shared" si="1"/>
        <v>49726.97600000001</v>
      </c>
      <c r="D46" s="20">
        <f t="shared" si="2"/>
        <v>26106.662400000005</v>
      </c>
      <c r="E46" s="18">
        <f t="shared" si="8"/>
        <v>75833.638400000011</v>
      </c>
      <c r="F46" s="13"/>
      <c r="G46" s="13"/>
      <c r="H46" s="13"/>
      <c r="I46" s="13"/>
      <c r="J46" s="13"/>
      <c r="K46" s="13"/>
      <c r="L46" s="13" t="s">
        <v>18</v>
      </c>
      <c r="M46" s="13"/>
      <c r="N46" s="13"/>
      <c r="O46" s="13"/>
      <c r="P46" s="13" t="s">
        <v>18</v>
      </c>
      <c r="Q46" s="13" t="s">
        <v>18</v>
      </c>
      <c r="R46" s="13" t="s">
        <v>18</v>
      </c>
      <c r="S46" s="28" t="s">
        <v>8</v>
      </c>
      <c r="T46" s="5">
        <v>20.051200000000001</v>
      </c>
      <c r="U46" s="5">
        <f t="shared" ref="U46:U49" si="23">SUM(T46*208)</f>
        <v>4170.6496000000006</v>
      </c>
      <c r="V46" s="5">
        <f t="shared" si="19"/>
        <v>2085.3248000000003</v>
      </c>
      <c r="W46" s="5">
        <f t="shared" si="20"/>
        <v>1283.2768000000001</v>
      </c>
      <c r="X46" s="41">
        <f t="shared" si="21"/>
        <v>7539.2512000000006</v>
      </c>
      <c r="AA46"/>
    </row>
    <row r="47" spans="1:27" ht="14.45" x14ac:dyDescent="0.3">
      <c r="A47" s="20">
        <f t="shared" si="18"/>
        <v>25.147200000000002</v>
      </c>
      <c r="B47" s="20">
        <f t="shared" si="0"/>
        <v>37.720800000000004</v>
      </c>
      <c r="C47" s="20">
        <f t="shared" si="1"/>
        <v>52306.176000000007</v>
      </c>
      <c r="D47" s="20">
        <f t="shared" si="2"/>
        <v>27460.742400000003</v>
      </c>
      <c r="E47" s="18">
        <f t="shared" si="8"/>
        <v>79766.91840000001</v>
      </c>
      <c r="F47" s="13"/>
      <c r="G47" s="13"/>
      <c r="H47" s="13"/>
      <c r="I47" s="13"/>
      <c r="J47" s="13"/>
      <c r="K47" s="13"/>
      <c r="L47" s="13"/>
      <c r="M47" s="13" t="s">
        <v>18</v>
      </c>
      <c r="N47" s="13"/>
      <c r="O47" s="13"/>
      <c r="P47" s="13" t="s">
        <v>18</v>
      </c>
      <c r="Q47" s="13" t="s">
        <v>18</v>
      </c>
      <c r="R47" s="13" t="s">
        <v>18</v>
      </c>
      <c r="S47" s="28" t="s">
        <v>9</v>
      </c>
      <c r="T47" s="5">
        <v>21.091200000000001</v>
      </c>
      <c r="U47" s="5">
        <f t="shared" si="23"/>
        <v>4386.9696000000004</v>
      </c>
      <c r="V47" s="5">
        <f t="shared" si="19"/>
        <v>2193.4848000000002</v>
      </c>
      <c r="W47" s="5">
        <f t="shared" si="20"/>
        <v>1349.8368</v>
      </c>
      <c r="X47" s="41">
        <f t="shared" si="21"/>
        <v>7930.2912000000006</v>
      </c>
      <c r="AA47"/>
    </row>
    <row r="48" spans="1:27" ht="14.45" x14ac:dyDescent="0.3">
      <c r="A48" s="20">
        <f t="shared" ref="A48:A49" si="24">(A15*0.24)+A15</f>
        <v>26.3872</v>
      </c>
      <c r="B48" s="20">
        <f t="shared" si="0"/>
        <v>39.580799999999996</v>
      </c>
      <c r="C48" s="20">
        <f t="shared" si="1"/>
        <v>54885.375999999997</v>
      </c>
      <c r="D48" s="20">
        <f t="shared" si="2"/>
        <v>28814.822399999997</v>
      </c>
      <c r="E48" s="18">
        <f t="shared" si="8"/>
        <v>83700.198399999994</v>
      </c>
      <c r="F48" s="13"/>
      <c r="G48" s="13"/>
      <c r="H48" s="13"/>
      <c r="I48" s="13"/>
      <c r="J48" s="13"/>
      <c r="K48" s="13"/>
      <c r="L48" s="13"/>
      <c r="M48" s="13"/>
      <c r="N48" s="13" t="s">
        <v>18</v>
      </c>
      <c r="O48" s="13"/>
      <c r="P48" s="13" t="s">
        <v>18</v>
      </c>
      <c r="Q48" s="13" t="s">
        <v>18</v>
      </c>
      <c r="R48" s="13" t="s">
        <v>18</v>
      </c>
      <c r="S48" s="28" t="s">
        <v>10</v>
      </c>
      <c r="T48" s="5">
        <v>22.1312</v>
      </c>
      <c r="U48" s="5">
        <f t="shared" si="23"/>
        <v>4603.2896000000001</v>
      </c>
      <c r="V48" s="5">
        <f t="shared" si="19"/>
        <v>2301.6448</v>
      </c>
      <c r="W48" s="5">
        <f t="shared" si="20"/>
        <v>1416.3968</v>
      </c>
      <c r="X48" s="41">
        <f t="shared" si="21"/>
        <v>8321.3312000000005</v>
      </c>
      <c r="AA48"/>
    </row>
    <row r="49" spans="1:27" ht="14.45" x14ac:dyDescent="0.3">
      <c r="A49" s="20">
        <f t="shared" si="24"/>
        <v>27.627200000000002</v>
      </c>
      <c r="B49" s="20">
        <f t="shared" si="0"/>
        <v>41.440800000000003</v>
      </c>
      <c r="C49" s="20">
        <f t="shared" si="1"/>
        <v>57464.576000000001</v>
      </c>
      <c r="D49" s="20">
        <f t="shared" si="2"/>
        <v>30168.902400000003</v>
      </c>
      <c r="E49" s="18">
        <f t="shared" si="8"/>
        <v>87633.478400000007</v>
      </c>
      <c r="F49" s="13"/>
      <c r="G49" s="13"/>
      <c r="H49" s="13"/>
      <c r="I49" s="13"/>
      <c r="J49" s="13"/>
      <c r="K49" s="13"/>
      <c r="L49" s="13"/>
      <c r="M49" s="13"/>
      <c r="N49" s="13"/>
      <c r="O49" s="13" t="s">
        <v>18</v>
      </c>
      <c r="P49" s="13" t="s">
        <v>18</v>
      </c>
      <c r="Q49" s="13" t="s">
        <v>18</v>
      </c>
      <c r="R49" s="13" t="s">
        <v>18</v>
      </c>
      <c r="S49" s="28" t="s">
        <v>11</v>
      </c>
      <c r="T49" s="5">
        <v>23.171200000000002</v>
      </c>
      <c r="U49" s="5">
        <f t="shared" si="23"/>
        <v>4819.6096000000007</v>
      </c>
      <c r="V49" s="5">
        <f t="shared" si="19"/>
        <v>2409.8048000000003</v>
      </c>
      <c r="W49" s="5">
        <f t="shared" si="20"/>
        <v>1482.9568000000002</v>
      </c>
      <c r="X49" s="41">
        <f t="shared" si="21"/>
        <v>8712.3712000000014</v>
      </c>
      <c r="AA49"/>
    </row>
    <row r="50" spans="1:27" ht="14.45" x14ac:dyDescent="0.3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AA50"/>
    </row>
    <row r="51" spans="1:27" ht="14.45" x14ac:dyDescent="0.3">
      <c r="A51" s="2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T51" s="35" t="s">
        <v>208</v>
      </c>
      <c r="U51" s="35" t="s">
        <v>37</v>
      </c>
      <c r="V51" s="35" t="s">
        <v>39</v>
      </c>
      <c r="W51" s="35" t="s">
        <v>30</v>
      </c>
      <c r="X51" s="39" t="s">
        <v>41</v>
      </c>
      <c r="AA51"/>
    </row>
    <row r="52" spans="1:27" x14ac:dyDescent="0.25">
      <c r="A52" s="1" t="s">
        <v>0</v>
      </c>
      <c r="B52" s="1" t="s">
        <v>14</v>
      </c>
      <c r="C52" s="1" t="s">
        <v>12</v>
      </c>
      <c r="D52" s="1" t="s">
        <v>206</v>
      </c>
      <c r="E52" s="15" t="s">
        <v>1</v>
      </c>
      <c r="F52" s="6" t="s">
        <v>2</v>
      </c>
      <c r="G52" s="6" t="s">
        <v>3</v>
      </c>
      <c r="H52" s="6" t="s">
        <v>4</v>
      </c>
      <c r="I52" s="6" t="s">
        <v>5</v>
      </c>
      <c r="J52" s="6" t="s">
        <v>6</v>
      </c>
      <c r="K52" s="6" t="s">
        <v>7</v>
      </c>
      <c r="L52" s="6" t="s">
        <v>8</v>
      </c>
      <c r="M52" s="6" t="s">
        <v>9</v>
      </c>
      <c r="N52" s="6" t="s">
        <v>10</v>
      </c>
      <c r="O52" s="6" t="s">
        <v>11</v>
      </c>
      <c r="P52" s="6" t="s">
        <v>16</v>
      </c>
      <c r="Q52" s="6"/>
      <c r="R52" s="6"/>
      <c r="S52" s="28" t="s">
        <v>38</v>
      </c>
      <c r="T52" s="19">
        <v>15.139199999999999</v>
      </c>
      <c r="U52" s="19">
        <v>0</v>
      </c>
      <c r="V52" s="19">
        <f>SUM(T52*104)</f>
        <v>1574.4767999999999</v>
      </c>
      <c r="W52" s="19">
        <f>SUM(T52*64)</f>
        <v>968.90879999999993</v>
      </c>
      <c r="X52" s="42">
        <f>SUM(U52:W52)</f>
        <v>2543.3855999999996</v>
      </c>
      <c r="AA52"/>
    </row>
    <row r="53" spans="1:27" x14ac:dyDescent="0.25">
      <c r="A53" s="1"/>
      <c r="B53" s="1"/>
      <c r="C53" s="1"/>
      <c r="D53" s="1"/>
      <c r="E53" s="15"/>
      <c r="F53" s="7">
        <v>0.5</v>
      </c>
      <c r="G53" s="7">
        <v>1.25</v>
      </c>
      <c r="H53" s="7">
        <v>2</v>
      </c>
      <c r="I53" s="7">
        <v>3</v>
      </c>
      <c r="J53" s="7">
        <v>4</v>
      </c>
      <c r="K53" s="7">
        <v>5</v>
      </c>
      <c r="L53" s="7">
        <v>6</v>
      </c>
      <c r="M53" s="7">
        <v>7</v>
      </c>
      <c r="N53" s="7">
        <v>8</v>
      </c>
      <c r="O53" s="7">
        <v>9</v>
      </c>
      <c r="P53" s="8">
        <v>0.1</v>
      </c>
      <c r="Q53" s="8"/>
      <c r="R53" s="8"/>
      <c r="S53" s="28" t="s">
        <v>2</v>
      </c>
      <c r="T53" s="19">
        <v>15.709199999999999</v>
      </c>
      <c r="U53" s="19">
        <f>SUM(T53*112)</f>
        <v>1759.4304</v>
      </c>
      <c r="V53" s="19">
        <f t="shared" ref="V53:V62" si="25">SUM(T53*104)</f>
        <v>1633.7567999999999</v>
      </c>
      <c r="W53" s="19">
        <f t="shared" ref="W53:W62" si="26">SUM(T53*64)</f>
        <v>1005.3887999999999</v>
      </c>
      <c r="X53" s="42">
        <f t="shared" ref="X53:X62" si="27">SUM(U53:W53)</f>
        <v>4398.576</v>
      </c>
      <c r="AA53"/>
    </row>
    <row r="54" spans="1:27" x14ac:dyDescent="0.25">
      <c r="A54" s="117" t="s">
        <v>205</v>
      </c>
      <c r="B54" s="1"/>
      <c r="C54" s="1"/>
      <c r="D54" s="1"/>
      <c r="E54" s="15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  <c r="Q54" s="8"/>
      <c r="R54" s="8"/>
      <c r="S54" s="28" t="s">
        <v>3</v>
      </c>
      <c r="T54" s="19">
        <v>16.5642</v>
      </c>
      <c r="U54" s="19">
        <f>SUM(T54*160)</f>
        <v>2650.2719999999999</v>
      </c>
      <c r="V54" s="19">
        <f t="shared" si="25"/>
        <v>1722.6768</v>
      </c>
      <c r="W54" s="19">
        <f t="shared" si="26"/>
        <v>1060.1088</v>
      </c>
      <c r="X54" s="42">
        <f t="shared" si="27"/>
        <v>5433.0576000000001</v>
      </c>
      <c r="AA54"/>
    </row>
    <row r="55" spans="1:27" x14ac:dyDescent="0.25">
      <c r="A55" s="21">
        <v>15</v>
      </c>
      <c r="B55" s="118">
        <f t="shared" ref="B55:B76" si="28">(A55)*1.5</f>
        <v>22.5</v>
      </c>
      <c r="C55" s="118">
        <f t="shared" ref="C55:C76" si="29">(A55)*2080</f>
        <v>31200</v>
      </c>
      <c r="D55" s="118">
        <f>(B55)*416</f>
        <v>9360</v>
      </c>
      <c r="E55" s="119">
        <f t="shared" ref="E55:E65" si="30">SUM(C55:D55)</f>
        <v>40560</v>
      </c>
      <c r="F55" s="120"/>
      <c r="G55" s="120"/>
      <c r="H55" s="120"/>
      <c r="I55" s="120"/>
      <c r="J55" s="120"/>
      <c r="K55" s="199" t="s">
        <v>31</v>
      </c>
      <c r="L55" s="200"/>
      <c r="M55" s="201"/>
      <c r="N55" s="120"/>
      <c r="O55" s="120"/>
      <c r="P55" s="6"/>
      <c r="Q55" s="6"/>
      <c r="R55" s="6"/>
      <c r="S55" s="28" t="s">
        <v>4</v>
      </c>
      <c r="T55" s="19">
        <v>17.4192</v>
      </c>
      <c r="U55" s="19">
        <f t="shared" ref="U55:U57" si="31">SUM(T55*160)</f>
        <v>2787.0720000000001</v>
      </c>
      <c r="V55" s="19">
        <f t="shared" si="25"/>
        <v>1811.5968</v>
      </c>
      <c r="W55" s="19">
        <f t="shared" si="26"/>
        <v>1114.8288</v>
      </c>
      <c r="X55" s="42">
        <f t="shared" si="27"/>
        <v>5713.4976000000006</v>
      </c>
      <c r="AA55"/>
    </row>
    <row r="56" spans="1:27" x14ac:dyDescent="0.25">
      <c r="A56" s="118">
        <f>(A55)+(F53)</f>
        <v>15.5</v>
      </c>
      <c r="B56" s="118">
        <f t="shared" si="28"/>
        <v>23.25</v>
      </c>
      <c r="C56" s="118">
        <f t="shared" si="29"/>
        <v>32240</v>
      </c>
      <c r="D56" s="118">
        <f t="shared" ref="D56:D65" si="32">(B56)*416</f>
        <v>9672</v>
      </c>
      <c r="E56" s="119">
        <f t="shared" si="30"/>
        <v>41912</v>
      </c>
      <c r="F56" s="120" t="s">
        <v>18</v>
      </c>
      <c r="G56" s="120"/>
      <c r="H56" s="120"/>
      <c r="I56" s="120"/>
      <c r="J56" s="120"/>
      <c r="K56" s="120"/>
      <c r="L56" s="120"/>
      <c r="M56" s="120"/>
      <c r="N56" s="120"/>
      <c r="O56" s="120"/>
      <c r="P56" s="6"/>
      <c r="Q56" s="6"/>
      <c r="R56" s="6"/>
      <c r="S56" s="28" t="s">
        <v>5</v>
      </c>
      <c r="T56" s="19">
        <v>18.559200000000001</v>
      </c>
      <c r="U56" s="19">
        <f t="shared" si="31"/>
        <v>2969.4720000000002</v>
      </c>
      <c r="V56" s="19">
        <f t="shared" si="25"/>
        <v>1930.1568</v>
      </c>
      <c r="W56" s="19">
        <f t="shared" si="26"/>
        <v>1187.7888</v>
      </c>
      <c r="X56" s="42">
        <f t="shared" si="27"/>
        <v>6087.4176000000007</v>
      </c>
      <c r="AA56"/>
    </row>
    <row r="57" spans="1:27" x14ac:dyDescent="0.25">
      <c r="A57" s="118">
        <f>(A55)+(G53)</f>
        <v>16.25</v>
      </c>
      <c r="B57" s="118">
        <f t="shared" si="28"/>
        <v>24.375</v>
      </c>
      <c r="C57" s="118">
        <f t="shared" si="29"/>
        <v>33800</v>
      </c>
      <c r="D57" s="118">
        <f t="shared" si="32"/>
        <v>10140</v>
      </c>
      <c r="E57" s="119">
        <f t="shared" si="30"/>
        <v>43940</v>
      </c>
      <c r="F57" s="120"/>
      <c r="G57" s="120" t="s">
        <v>18</v>
      </c>
      <c r="H57" s="120"/>
      <c r="I57" s="120"/>
      <c r="J57" s="120"/>
      <c r="K57" s="120"/>
      <c r="L57" s="120"/>
      <c r="M57" s="120"/>
      <c r="N57" s="120"/>
      <c r="O57" s="120"/>
      <c r="P57" s="6"/>
      <c r="Q57" s="6"/>
      <c r="R57" s="6"/>
      <c r="S57" s="28" t="s">
        <v>6</v>
      </c>
      <c r="T57" s="19">
        <v>19.699200000000001</v>
      </c>
      <c r="U57" s="19">
        <f t="shared" si="31"/>
        <v>3151.8720000000003</v>
      </c>
      <c r="V57" s="19">
        <f t="shared" si="25"/>
        <v>2048.7168000000001</v>
      </c>
      <c r="W57" s="19">
        <f t="shared" si="26"/>
        <v>1260.7488000000001</v>
      </c>
      <c r="X57" s="42">
        <f t="shared" si="27"/>
        <v>6461.3376000000007</v>
      </c>
      <c r="AA57"/>
    </row>
    <row r="58" spans="1:27" x14ac:dyDescent="0.25">
      <c r="A58" s="118">
        <f>(A55)+(H53)</f>
        <v>17</v>
      </c>
      <c r="B58" s="118">
        <f t="shared" si="28"/>
        <v>25.5</v>
      </c>
      <c r="C58" s="118">
        <f t="shared" si="29"/>
        <v>35360</v>
      </c>
      <c r="D58" s="118">
        <f t="shared" si="32"/>
        <v>10608</v>
      </c>
      <c r="E58" s="119">
        <f t="shared" si="30"/>
        <v>45968</v>
      </c>
      <c r="F58" s="120"/>
      <c r="G58" s="120"/>
      <c r="H58" s="120" t="s">
        <v>18</v>
      </c>
      <c r="I58" s="120"/>
      <c r="J58" s="120"/>
      <c r="K58" s="120"/>
      <c r="L58" s="120"/>
      <c r="M58" s="120"/>
      <c r="N58" s="120"/>
      <c r="O58" s="120"/>
      <c r="P58" s="6"/>
      <c r="Q58" s="6"/>
      <c r="R58" s="6"/>
      <c r="S58" s="28" t="s">
        <v>7</v>
      </c>
      <c r="T58" s="19">
        <v>20.839200000000002</v>
      </c>
      <c r="U58" s="19">
        <f>SUM(T58*208)</f>
        <v>4334.5536000000002</v>
      </c>
      <c r="V58" s="19">
        <f t="shared" si="25"/>
        <v>2167.2768000000001</v>
      </c>
      <c r="W58" s="19">
        <f t="shared" si="26"/>
        <v>1333.7088000000001</v>
      </c>
      <c r="X58" s="42">
        <f t="shared" si="27"/>
        <v>7835.5392000000011</v>
      </c>
      <c r="AA58"/>
    </row>
    <row r="59" spans="1:27" x14ac:dyDescent="0.25">
      <c r="A59" s="118">
        <f>(A55)+(I53)</f>
        <v>18</v>
      </c>
      <c r="B59" s="118">
        <f t="shared" si="28"/>
        <v>27</v>
      </c>
      <c r="C59" s="118">
        <f t="shared" si="29"/>
        <v>37440</v>
      </c>
      <c r="D59" s="118">
        <f t="shared" si="32"/>
        <v>11232</v>
      </c>
      <c r="E59" s="119">
        <f t="shared" si="30"/>
        <v>48672</v>
      </c>
      <c r="F59" s="120"/>
      <c r="G59" s="120"/>
      <c r="H59" s="120"/>
      <c r="I59" s="120" t="s">
        <v>18</v>
      </c>
      <c r="J59" s="120"/>
      <c r="K59" s="120"/>
      <c r="L59" s="120"/>
      <c r="M59" s="120"/>
      <c r="N59" s="120"/>
      <c r="O59" s="120"/>
      <c r="P59" s="6"/>
      <c r="Q59" s="6"/>
      <c r="R59" s="6"/>
      <c r="S59" s="28" t="s">
        <v>8</v>
      </c>
      <c r="T59" s="19">
        <v>21.979200000000002</v>
      </c>
      <c r="U59" s="19">
        <f t="shared" ref="U59:U62" si="33">SUM(T59*208)</f>
        <v>4571.6736000000001</v>
      </c>
      <c r="V59" s="19">
        <f t="shared" si="25"/>
        <v>2285.8368</v>
      </c>
      <c r="W59" s="19">
        <f t="shared" si="26"/>
        <v>1406.6688000000001</v>
      </c>
      <c r="X59" s="42">
        <f t="shared" si="27"/>
        <v>8264.1792000000005</v>
      </c>
      <c r="AA59"/>
    </row>
    <row r="60" spans="1:27" x14ac:dyDescent="0.25">
      <c r="A60" s="118">
        <f>(A55)+(J53)</f>
        <v>19</v>
      </c>
      <c r="B60" s="118">
        <f t="shared" si="28"/>
        <v>28.5</v>
      </c>
      <c r="C60" s="118">
        <f t="shared" si="29"/>
        <v>39520</v>
      </c>
      <c r="D60" s="118">
        <f t="shared" si="32"/>
        <v>11856</v>
      </c>
      <c r="E60" s="119">
        <f t="shared" si="30"/>
        <v>51376</v>
      </c>
      <c r="F60" s="120"/>
      <c r="G60" s="120"/>
      <c r="H60" s="120"/>
      <c r="I60" s="120"/>
      <c r="J60" s="120" t="s">
        <v>18</v>
      </c>
      <c r="K60" s="120"/>
      <c r="L60" s="120"/>
      <c r="M60" s="120"/>
      <c r="N60" s="120"/>
      <c r="O60" s="120"/>
      <c r="P60" s="6"/>
      <c r="Q60" s="6"/>
      <c r="R60" s="6"/>
      <c r="S60" s="28" t="s">
        <v>9</v>
      </c>
      <c r="T60" s="19">
        <v>23.119200000000003</v>
      </c>
      <c r="U60" s="19">
        <f t="shared" si="33"/>
        <v>4808.7936000000009</v>
      </c>
      <c r="V60" s="19">
        <f t="shared" si="25"/>
        <v>2404.3968000000004</v>
      </c>
      <c r="W60" s="19">
        <f t="shared" si="26"/>
        <v>1479.6288000000002</v>
      </c>
      <c r="X60" s="42">
        <f t="shared" si="27"/>
        <v>8692.8192000000017</v>
      </c>
      <c r="AA60"/>
    </row>
    <row r="61" spans="1:27" x14ac:dyDescent="0.25">
      <c r="A61" s="118">
        <f>(A55)+(K53)</f>
        <v>20</v>
      </c>
      <c r="B61" s="118">
        <f t="shared" si="28"/>
        <v>30</v>
      </c>
      <c r="C61" s="118">
        <f t="shared" si="29"/>
        <v>41600</v>
      </c>
      <c r="D61" s="118">
        <f t="shared" si="32"/>
        <v>12480</v>
      </c>
      <c r="E61" s="119">
        <f t="shared" si="30"/>
        <v>54080</v>
      </c>
      <c r="F61" s="120"/>
      <c r="G61" s="120"/>
      <c r="H61" s="120"/>
      <c r="I61" s="120"/>
      <c r="J61" s="120"/>
      <c r="K61" s="120" t="s">
        <v>18</v>
      </c>
      <c r="L61" s="120"/>
      <c r="M61" s="120"/>
      <c r="N61" s="120"/>
      <c r="O61" s="120"/>
      <c r="P61" s="6"/>
      <c r="Q61" s="6"/>
      <c r="R61" s="6"/>
      <c r="S61" s="28" t="s">
        <v>10</v>
      </c>
      <c r="T61" s="19">
        <v>24.2592</v>
      </c>
      <c r="U61" s="19">
        <f t="shared" si="33"/>
        <v>5045.9135999999999</v>
      </c>
      <c r="V61" s="19">
        <f t="shared" si="25"/>
        <v>2522.9567999999999</v>
      </c>
      <c r="W61" s="19">
        <f t="shared" si="26"/>
        <v>1552.5888</v>
      </c>
      <c r="X61" s="42">
        <f t="shared" si="27"/>
        <v>9121.4591999999993</v>
      </c>
      <c r="AA61"/>
    </row>
    <row r="62" spans="1:27" x14ac:dyDescent="0.25">
      <c r="A62" s="118">
        <f>(A55)+(L53)</f>
        <v>21</v>
      </c>
      <c r="B62" s="118">
        <f t="shared" si="28"/>
        <v>31.5</v>
      </c>
      <c r="C62" s="118">
        <f t="shared" si="29"/>
        <v>43680</v>
      </c>
      <c r="D62" s="118">
        <f t="shared" si="32"/>
        <v>13104</v>
      </c>
      <c r="E62" s="119">
        <f t="shared" si="30"/>
        <v>56784</v>
      </c>
      <c r="F62" s="120"/>
      <c r="G62" s="120"/>
      <c r="H62" s="120"/>
      <c r="I62" s="120"/>
      <c r="J62" s="120"/>
      <c r="K62" s="120"/>
      <c r="L62" s="120" t="s">
        <v>18</v>
      </c>
      <c r="M62" s="120"/>
      <c r="N62" s="120"/>
      <c r="O62" s="120"/>
      <c r="P62" s="6"/>
      <c r="Q62" s="6"/>
      <c r="R62" s="6"/>
      <c r="S62" s="28" t="s">
        <v>11</v>
      </c>
      <c r="T62" s="19">
        <v>25.3992</v>
      </c>
      <c r="U62" s="19">
        <f t="shared" si="33"/>
        <v>5283.0335999999998</v>
      </c>
      <c r="V62" s="19">
        <f t="shared" si="25"/>
        <v>2641.5167999999999</v>
      </c>
      <c r="W62" s="19">
        <f t="shared" si="26"/>
        <v>1625.5488</v>
      </c>
      <c r="X62" s="42">
        <f t="shared" si="27"/>
        <v>9550.0992000000006</v>
      </c>
      <c r="AA62"/>
    </row>
    <row r="63" spans="1:27" x14ac:dyDescent="0.25">
      <c r="A63" s="118">
        <f>(A55)+(M53)</f>
        <v>22</v>
      </c>
      <c r="B63" s="118">
        <f t="shared" si="28"/>
        <v>33</v>
      </c>
      <c r="C63" s="118">
        <f t="shared" si="29"/>
        <v>45760</v>
      </c>
      <c r="D63" s="118">
        <f t="shared" si="32"/>
        <v>13728</v>
      </c>
      <c r="E63" s="119">
        <f t="shared" si="30"/>
        <v>59488</v>
      </c>
      <c r="F63" s="120"/>
      <c r="G63" s="120"/>
      <c r="H63" s="120"/>
      <c r="I63" s="120"/>
      <c r="J63" s="120"/>
      <c r="K63" s="120"/>
      <c r="L63" s="120"/>
      <c r="M63" s="120" t="s">
        <v>18</v>
      </c>
      <c r="N63" s="120"/>
      <c r="O63" s="120"/>
      <c r="P63" s="6"/>
      <c r="Q63" s="6"/>
      <c r="R63" s="6"/>
      <c r="AA63"/>
    </row>
    <row r="64" spans="1:27" x14ac:dyDescent="0.25">
      <c r="A64" s="118">
        <f>(A55)+(N53)</f>
        <v>23</v>
      </c>
      <c r="B64" s="118">
        <f t="shared" si="28"/>
        <v>34.5</v>
      </c>
      <c r="C64" s="118">
        <f t="shared" si="29"/>
        <v>47840</v>
      </c>
      <c r="D64" s="118">
        <f t="shared" si="32"/>
        <v>14352</v>
      </c>
      <c r="E64" s="119">
        <f t="shared" si="30"/>
        <v>62192</v>
      </c>
      <c r="F64" s="120"/>
      <c r="G64" s="120"/>
      <c r="H64" s="120"/>
      <c r="I64" s="120"/>
      <c r="J64" s="120"/>
      <c r="K64" s="120"/>
      <c r="L64" s="120"/>
      <c r="M64" s="120"/>
      <c r="N64" s="120" t="s">
        <v>18</v>
      </c>
      <c r="O64" s="120"/>
      <c r="P64" s="6"/>
      <c r="Q64" s="6"/>
      <c r="R64" s="6"/>
      <c r="AA64"/>
    </row>
    <row r="65" spans="1:27" x14ac:dyDescent="0.25">
      <c r="A65" s="118">
        <f>(A55)+(O53)</f>
        <v>24</v>
      </c>
      <c r="B65" s="118">
        <f t="shared" si="28"/>
        <v>36</v>
      </c>
      <c r="C65" s="118">
        <f t="shared" si="29"/>
        <v>49920</v>
      </c>
      <c r="D65" s="118">
        <f t="shared" si="32"/>
        <v>14976</v>
      </c>
      <c r="E65" s="119">
        <f t="shared" si="30"/>
        <v>64896</v>
      </c>
      <c r="F65" s="121"/>
      <c r="G65" s="121"/>
      <c r="H65" s="121"/>
      <c r="I65" s="120"/>
      <c r="J65" s="120"/>
      <c r="K65" s="120"/>
      <c r="L65" s="120"/>
      <c r="M65" s="120"/>
      <c r="N65" s="120"/>
      <c r="O65" s="120" t="s">
        <v>18</v>
      </c>
      <c r="P65" s="6"/>
      <c r="Q65" s="6"/>
      <c r="R65" s="6"/>
      <c r="T65" s="35" t="s">
        <v>209</v>
      </c>
      <c r="U65" s="35" t="s">
        <v>37</v>
      </c>
      <c r="V65" s="35" t="s">
        <v>39</v>
      </c>
      <c r="W65" s="35" t="s">
        <v>30</v>
      </c>
      <c r="X65" s="39" t="s">
        <v>41</v>
      </c>
      <c r="AA65"/>
    </row>
    <row r="66" spans="1:27" x14ac:dyDescent="0.25">
      <c r="A66" s="122">
        <f t="shared" ref="A66:A76" si="34">(A55*0.1)+A55</f>
        <v>16.5</v>
      </c>
      <c r="B66" s="122">
        <f t="shared" si="28"/>
        <v>24.75</v>
      </c>
      <c r="C66" s="122">
        <f t="shared" si="29"/>
        <v>34320</v>
      </c>
      <c r="D66" s="122">
        <f>(B66)*416</f>
        <v>10296</v>
      </c>
      <c r="E66" s="123">
        <f t="shared" ref="E66:E76" si="35">SUM(C66,D66)</f>
        <v>44616</v>
      </c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 t="s">
        <v>18</v>
      </c>
      <c r="Q66" s="6"/>
      <c r="R66" s="6"/>
      <c r="S66" s="28" t="s">
        <v>38</v>
      </c>
      <c r="T66" s="20">
        <v>16.467199999999998</v>
      </c>
      <c r="U66" s="20">
        <v>0</v>
      </c>
      <c r="V66" s="20">
        <f>SUM(T66*104)</f>
        <v>1712.5887999999998</v>
      </c>
      <c r="W66" s="20">
        <f>SUM(T66*64)</f>
        <v>1053.9007999999999</v>
      </c>
      <c r="X66" s="43">
        <f>SUM(U66:W66)</f>
        <v>2766.4895999999999</v>
      </c>
      <c r="AA66"/>
    </row>
    <row r="67" spans="1:27" x14ac:dyDescent="0.25">
      <c r="A67" s="122">
        <f t="shared" si="34"/>
        <v>17.05</v>
      </c>
      <c r="B67" s="122">
        <f t="shared" si="28"/>
        <v>25.575000000000003</v>
      </c>
      <c r="C67" s="122">
        <f t="shared" si="29"/>
        <v>35464</v>
      </c>
      <c r="D67" s="122">
        <f t="shared" ref="D67:D76" si="36">(B67)*416</f>
        <v>10639.2</v>
      </c>
      <c r="E67" s="123">
        <f t="shared" si="35"/>
        <v>46103.199999999997</v>
      </c>
      <c r="F67" s="124" t="s">
        <v>18</v>
      </c>
      <c r="G67" s="124"/>
      <c r="H67" s="124"/>
      <c r="I67" s="124"/>
      <c r="J67" s="124"/>
      <c r="K67" s="124"/>
      <c r="L67" s="124"/>
      <c r="M67" s="124"/>
      <c r="N67" s="124"/>
      <c r="O67" s="124"/>
      <c r="P67" s="124" t="s">
        <v>18</v>
      </c>
      <c r="Q67" s="6"/>
      <c r="R67" s="6"/>
      <c r="S67" s="28" t="s">
        <v>2</v>
      </c>
      <c r="T67" s="20">
        <v>17.087199999999999</v>
      </c>
      <c r="U67" s="20">
        <f>SUM(T67*112)</f>
        <v>1913.7664</v>
      </c>
      <c r="V67" s="20">
        <f t="shared" ref="V67:V76" si="37">SUM(T67*104)</f>
        <v>1777.0688</v>
      </c>
      <c r="W67" s="20">
        <f t="shared" ref="W67:W76" si="38">SUM(T67*64)</f>
        <v>1093.5808</v>
      </c>
      <c r="X67" s="43">
        <f t="shared" ref="X67:X76" si="39">SUM(U67:W67)</f>
        <v>4784.4160000000002</v>
      </c>
      <c r="AA67"/>
    </row>
    <row r="68" spans="1:27" x14ac:dyDescent="0.25">
      <c r="A68" s="122">
        <f t="shared" si="34"/>
        <v>17.875</v>
      </c>
      <c r="B68" s="122">
        <f t="shared" si="28"/>
        <v>26.8125</v>
      </c>
      <c r="C68" s="122">
        <f t="shared" si="29"/>
        <v>37180</v>
      </c>
      <c r="D68" s="122">
        <f t="shared" si="36"/>
        <v>11154</v>
      </c>
      <c r="E68" s="123">
        <f t="shared" si="35"/>
        <v>48334</v>
      </c>
      <c r="F68" s="124"/>
      <c r="G68" s="124" t="s">
        <v>18</v>
      </c>
      <c r="H68" s="124"/>
      <c r="I68" s="124"/>
      <c r="J68" s="124"/>
      <c r="K68" s="124"/>
      <c r="L68" s="124"/>
      <c r="M68" s="124"/>
      <c r="N68" s="124"/>
      <c r="O68" s="124"/>
      <c r="P68" s="124" t="s">
        <v>18</v>
      </c>
      <c r="Q68" s="6"/>
      <c r="R68" s="6"/>
      <c r="S68" s="28" t="s">
        <v>3</v>
      </c>
      <c r="T68" s="20">
        <v>18.017199999999999</v>
      </c>
      <c r="U68" s="20">
        <f>SUM(T68*160)</f>
        <v>2882.752</v>
      </c>
      <c r="V68" s="20">
        <f t="shared" si="37"/>
        <v>1873.7887999999998</v>
      </c>
      <c r="W68" s="20">
        <f t="shared" si="38"/>
        <v>1153.1007999999999</v>
      </c>
      <c r="X68" s="43">
        <f t="shared" si="39"/>
        <v>5909.6415999999999</v>
      </c>
      <c r="AA68"/>
    </row>
    <row r="69" spans="1:27" x14ac:dyDescent="0.25">
      <c r="A69" s="122">
        <f t="shared" si="34"/>
        <v>18.7</v>
      </c>
      <c r="B69" s="122">
        <f t="shared" si="28"/>
        <v>28.049999999999997</v>
      </c>
      <c r="C69" s="122">
        <f t="shared" si="29"/>
        <v>38896</v>
      </c>
      <c r="D69" s="122">
        <f t="shared" si="36"/>
        <v>11668.8</v>
      </c>
      <c r="E69" s="123">
        <f t="shared" si="35"/>
        <v>50564.800000000003</v>
      </c>
      <c r="F69" s="124"/>
      <c r="G69" s="124"/>
      <c r="H69" s="124" t="s">
        <v>18</v>
      </c>
      <c r="I69" s="124"/>
      <c r="J69" s="124"/>
      <c r="K69" s="124"/>
      <c r="L69" s="124"/>
      <c r="M69" s="124"/>
      <c r="N69" s="124"/>
      <c r="O69" s="124"/>
      <c r="P69" s="124" t="s">
        <v>18</v>
      </c>
      <c r="Q69" s="6"/>
      <c r="R69" s="6"/>
      <c r="S69" s="28" t="s">
        <v>4</v>
      </c>
      <c r="T69" s="20">
        <v>18.947199999999999</v>
      </c>
      <c r="U69" s="20">
        <f t="shared" ref="U69:U71" si="40">SUM(T69*160)</f>
        <v>3031.5519999999997</v>
      </c>
      <c r="V69" s="20">
        <f t="shared" si="37"/>
        <v>1970.5087999999998</v>
      </c>
      <c r="W69" s="20">
        <f t="shared" si="38"/>
        <v>1212.6207999999999</v>
      </c>
      <c r="X69" s="43">
        <f t="shared" si="39"/>
        <v>6214.681599999999</v>
      </c>
      <c r="AA69"/>
    </row>
    <row r="70" spans="1:27" x14ac:dyDescent="0.25">
      <c r="A70" s="122">
        <f t="shared" si="34"/>
        <v>19.8</v>
      </c>
      <c r="B70" s="122">
        <f t="shared" si="28"/>
        <v>29.700000000000003</v>
      </c>
      <c r="C70" s="122">
        <f t="shared" si="29"/>
        <v>41184</v>
      </c>
      <c r="D70" s="122">
        <f t="shared" si="36"/>
        <v>12355.2</v>
      </c>
      <c r="E70" s="123">
        <f t="shared" si="35"/>
        <v>53539.199999999997</v>
      </c>
      <c r="F70" s="124"/>
      <c r="G70" s="124"/>
      <c r="H70" s="124"/>
      <c r="I70" s="124" t="s">
        <v>18</v>
      </c>
      <c r="J70" s="124"/>
      <c r="K70" s="124"/>
      <c r="L70" s="124"/>
      <c r="M70" s="124"/>
      <c r="N70" s="124"/>
      <c r="O70" s="124"/>
      <c r="P70" s="124" t="s">
        <v>18</v>
      </c>
      <c r="Q70" s="6"/>
      <c r="R70" s="6"/>
      <c r="S70" s="28" t="s">
        <v>5</v>
      </c>
      <c r="T70" s="20">
        <v>20.187200000000001</v>
      </c>
      <c r="U70" s="20">
        <f t="shared" si="40"/>
        <v>3229.9520000000002</v>
      </c>
      <c r="V70" s="20">
        <f t="shared" si="37"/>
        <v>2099.4688000000001</v>
      </c>
      <c r="W70" s="20">
        <f t="shared" si="38"/>
        <v>1291.9808</v>
      </c>
      <c r="X70" s="43">
        <f t="shared" si="39"/>
        <v>6621.4016000000001</v>
      </c>
      <c r="AA70"/>
    </row>
    <row r="71" spans="1:27" x14ac:dyDescent="0.25">
      <c r="A71" s="122">
        <f t="shared" si="34"/>
        <v>20.9</v>
      </c>
      <c r="B71" s="122">
        <f t="shared" si="28"/>
        <v>31.349999999999998</v>
      </c>
      <c r="C71" s="122">
        <f t="shared" si="29"/>
        <v>43472</v>
      </c>
      <c r="D71" s="122">
        <f t="shared" si="36"/>
        <v>13041.599999999999</v>
      </c>
      <c r="E71" s="123">
        <f t="shared" si="35"/>
        <v>56513.599999999999</v>
      </c>
      <c r="F71" s="124"/>
      <c r="G71" s="124"/>
      <c r="H71" s="124"/>
      <c r="I71" s="124"/>
      <c r="J71" s="124" t="s">
        <v>18</v>
      </c>
      <c r="K71" s="124"/>
      <c r="L71" s="124"/>
      <c r="M71" s="124"/>
      <c r="N71" s="124"/>
      <c r="O71" s="124"/>
      <c r="P71" s="124" t="s">
        <v>18</v>
      </c>
      <c r="Q71" s="6"/>
      <c r="R71" s="6"/>
      <c r="S71" s="28" t="s">
        <v>6</v>
      </c>
      <c r="T71" s="20">
        <v>21.427199999999999</v>
      </c>
      <c r="U71" s="20">
        <f t="shared" si="40"/>
        <v>3428.3519999999999</v>
      </c>
      <c r="V71" s="20">
        <f t="shared" si="37"/>
        <v>2228.4287999999997</v>
      </c>
      <c r="W71" s="20">
        <f t="shared" si="38"/>
        <v>1371.3407999999999</v>
      </c>
      <c r="X71" s="43">
        <f t="shared" si="39"/>
        <v>7028.1215999999995</v>
      </c>
      <c r="AA71"/>
    </row>
    <row r="72" spans="1:27" x14ac:dyDescent="0.25">
      <c r="A72" s="122">
        <f t="shared" si="34"/>
        <v>22</v>
      </c>
      <c r="B72" s="122">
        <f t="shared" si="28"/>
        <v>33</v>
      </c>
      <c r="C72" s="122">
        <f t="shared" si="29"/>
        <v>45760</v>
      </c>
      <c r="D72" s="122">
        <f t="shared" si="36"/>
        <v>13728</v>
      </c>
      <c r="E72" s="123">
        <f t="shared" si="35"/>
        <v>59488</v>
      </c>
      <c r="F72" s="124"/>
      <c r="G72" s="124"/>
      <c r="H72" s="124"/>
      <c r="I72" s="124"/>
      <c r="J72" s="124"/>
      <c r="K72" s="124" t="s">
        <v>18</v>
      </c>
      <c r="L72" s="124"/>
      <c r="M72" s="124"/>
      <c r="N72" s="124"/>
      <c r="O72" s="124"/>
      <c r="P72" s="124" t="s">
        <v>18</v>
      </c>
      <c r="Q72" s="6"/>
      <c r="R72" s="6"/>
      <c r="S72" s="28" t="s">
        <v>7</v>
      </c>
      <c r="T72" s="20">
        <v>22.667200000000001</v>
      </c>
      <c r="U72" s="20">
        <f>SUM(T72*208)</f>
        <v>4714.7776000000003</v>
      </c>
      <c r="V72" s="20">
        <f t="shared" si="37"/>
        <v>2357.3888000000002</v>
      </c>
      <c r="W72" s="20">
        <f t="shared" si="38"/>
        <v>1450.7008000000001</v>
      </c>
      <c r="X72" s="43">
        <f t="shared" si="39"/>
        <v>8522.8672000000006</v>
      </c>
      <c r="AA72"/>
    </row>
    <row r="73" spans="1:27" x14ac:dyDescent="0.25">
      <c r="A73" s="122">
        <f t="shared" si="34"/>
        <v>23.1</v>
      </c>
      <c r="B73" s="122">
        <f t="shared" si="28"/>
        <v>34.650000000000006</v>
      </c>
      <c r="C73" s="122">
        <f t="shared" si="29"/>
        <v>48048</v>
      </c>
      <c r="D73" s="122">
        <f t="shared" si="36"/>
        <v>14414.400000000001</v>
      </c>
      <c r="E73" s="123">
        <f t="shared" si="35"/>
        <v>62462.400000000001</v>
      </c>
      <c r="F73" s="124"/>
      <c r="G73" s="124"/>
      <c r="H73" s="124"/>
      <c r="I73" s="124"/>
      <c r="J73" s="125"/>
      <c r="K73" s="124"/>
      <c r="L73" s="124" t="s">
        <v>18</v>
      </c>
      <c r="M73" s="124"/>
      <c r="N73" s="124"/>
      <c r="O73" s="124"/>
      <c r="P73" s="124" t="s">
        <v>18</v>
      </c>
      <c r="Q73" s="6"/>
      <c r="R73" s="6"/>
      <c r="S73" s="28" t="s">
        <v>8</v>
      </c>
      <c r="T73" s="20">
        <v>23.907200000000003</v>
      </c>
      <c r="U73" s="20">
        <f t="shared" ref="U73:U76" si="41">SUM(T73*208)</f>
        <v>4972.6976000000004</v>
      </c>
      <c r="V73" s="20">
        <f t="shared" si="37"/>
        <v>2486.3488000000002</v>
      </c>
      <c r="W73" s="20">
        <f t="shared" si="38"/>
        <v>1530.0608000000002</v>
      </c>
      <c r="X73" s="43">
        <f t="shared" si="39"/>
        <v>8989.1072000000022</v>
      </c>
      <c r="AA73"/>
    </row>
    <row r="74" spans="1:27" x14ac:dyDescent="0.25">
      <c r="A74" s="122">
        <f t="shared" si="34"/>
        <v>24.2</v>
      </c>
      <c r="B74" s="122">
        <f t="shared" si="28"/>
        <v>36.299999999999997</v>
      </c>
      <c r="C74" s="122">
        <f t="shared" si="29"/>
        <v>50336</v>
      </c>
      <c r="D74" s="122">
        <f t="shared" si="36"/>
        <v>15100.8</v>
      </c>
      <c r="E74" s="123">
        <f t="shared" si="35"/>
        <v>65436.800000000003</v>
      </c>
      <c r="F74" s="124"/>
      <c r="G74" s="124"/>
      <c r="H74" s="124"/>
      <c r="I74" s="124"/>
      <c r="J74" s="125"/>
      <c r="K74" s="124"/>
      <c r="L74" s="124"/>
      <c r="M74" s="124" t="s">
        <v>18</v>
      </c>
      <c r="N74" s="124"/>
      <c r="O74" s="124"/>
      <c r="P74" s="124" t="s">
        <v>18</v>
      </c>
      <c r="Q74" s="6"/>
      <c r="R74" s="6"/>
      <c r="S74" s="28" t="s">
        <v>9</v>
      </c>
      <c r="T74" s="20">
        <v>25.147200000000002</v>
      </c>
      <c r="U74" s="20">
        <f t="shared" si="41"/>
        <v>5230.6176000000005</v>
      </c>
      <c r="V74" s="20">
        <f t="shared" si="37"/>
        <v>2615.3088000000002</v>
      </c>
      <c r="W74" s="20">
        <f t="shared" si="38"/>
        <v>1609.4208000000001</v>
      </c>
      <c r="X74" s="43">
        <f t="shared" si="39"/>
        <v>9455.3472000000002</v>
      </c>
      <c r="AA74"/>
    </row>
    <row r="75" spans="1:27" x14ac:dyDescent="0.25">
      <c r="A75" s="122">
        <f t="shared" si="34"/>
        <v>25.3</v>
      </c>
      <c r="B75" s="122">
        <f t="shared" si="28"/>
        <v>37.950000000000003</v>
      </c>
      <c r="C75" s="122">
        <f t="shared" si="29"/>
        <v>52624</v>
      </c>
      <c r="D75" s="122">
        <f t="shared" si="36"/>
        <v>15787.2</v>
      </c>
      <c r="E75" s="123">
        <f t="shared" si="35"/>
        <v>68411.199999999997</v>
      </c>
      <c r="F75" s="124"/>
      <c r="G75" s="124"/>
      <c r="H75" s="124"/>
      <c r="I75" s="124"/>
      <c r="J75" s="124"/>
      <c r="K75" s="124"/>
      <c r="L75" s="124"/>
      <c r="M75" s="124"/>
      <c r="N75" s="124" t="s">
        <v>18</v>
      </c>
      <c r="O75" s="124"/>
      <c r="P75" s="124" t="s">
        <v>18</v>
      </c>
      <c r="Q75" s="6"/>
      <c r="R75" s="6"/>
      <c r="S75" s="28" t="s">
        <v>10</v>
      </c>
      <c r="T75" s="20">
        <v>26.3872</v>
      </c>
      <c r="U75" s="20">
        <f t="shared" si="41"/>
        <v>5488.5375999999997</v>
      </c>
      <c r="V75" s="20">
        <f t="shared" si="37"/>
        <v>2744.2687999999998</v>
      </c>
      <c r="W75" s="20">
        <f t="shared" si="38"/>
        <v>1688.7808</v>
      </c>
      <c r="X75" s="43">
        <f t="shared" si="39"/>
        <v>9921.5871999999999</v>
      </c>
      <c r="AA75"/>
    </row>
    <row r="76" spans="1:27" x14ac:dyDescent="0.25">
      <c r="A76" s="122">
        <f t="shared" si="34"/>
        <v>26.4</v>
      </c>
      <c r="B76" s="122">
        <f t="shared" si="28"/>
        <v>39.599999999999994</v>
      </c>
      <c r="C76" s="122">
        <f t="shared" si="29"/>
        <v>54912</v>
      </c>
      <c r="D76" s="122">
        <f t="shared" si="36"/>
        <v>16473.599999999999</v>
      </c>
      <c r="E76" s="123">
        <f t="shared" si="35"/>
        <v>71385.600000000006</v>
      </c>
      <c r="F76" s="124"/>
      <c r="G76" s="124"/>
      <c r="H76" s="124"/>
      <c r="I76" s="124"/>
      <c r="J76" s="124"/>
      <c r="K76" s="124"/>
      <c r="L76" s="124"/>
      <c r="M76" s="124"/>
      <c r="N76" s="124"/>
      <c r="O76" s="124" t="s">
        <v>18</v>
      </c>
      <c r="P76" s="124" t="s">
        <v>18</v>
      </c>
      <c r="Q76" s="6"/>
      <c r="R76" s="6"/>
      <c r="S76" s="28" t="s">
        <v>11</v>
      </c>
      <c r="T76" s="20">
        <v>27.627200000000002</v>
      </c>
      <c r="U76" s="20">
        <f t="shared" si="41"/>
        <v>5746.4576000000006</v>
      </c>
      <c r="V76" s="20">
        <f t="shared" si="37"/>
        <v>2873.2288000000003</v>
      </c>
      <c r="W76" s="20">
        <f t="shared" si="38"/>
        <v>1768.1408000000001</v>
      </c>
      <c r="X76" s="43">
        <f t="shared" si="39"/>
        <v>10387.8272</v>
      </c>
      <c r="AA76"/>
    </row>
    <row r="77" spans="1:27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AA77"/>
    </row>
    <row r="78" spans="1:27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T78" s="35"/>
      <c r="AA78"/>
    </row>
    <row r="79" spans="1:27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T79" s="35" t="s">
        <v>214</v>
      </c>
      <c r="U79" s="35" t="s">
        <v>37</v>
      </c>
      <c r="V79" s="35" t="s">
        <v>39</v>
      </c>
      <c r="W79" s="35" t="s">
        <v>30</v>
      </c>
      <c r="X79" s="39" t="s">
        <v>41</v>
      </c>
      <c r="AA79"/>
    </row>
    <row r="80" spans="1:27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S80" s="28" t="s">
        <v>38</v>
      </c>
      <c r="T80" s="118">
        <v>15</v>
      </c>
      <c r="U80" s="118">
        <v>0</v>
      </c>
      <c r="V80" s="118">
        <f>SUM(T80*104)</f>
        <v>1560</v>
      </c>
      <c r="W80" s="118">
        <f>SUM(T80*64)</f>
        <v>960</v>
      </c>
      <c r="X80" s="126">
        <f>SUM(U80:W80)</f>
        <v>2520</v>
      </c>
      <c r="AA80"/>
    </row>
    <row r="81" spans="1:27" x14ac:dyDescent="0.25">
      <c r="A81"/>
      <c r="B81"/>
      <c r="C81"/>
      <c r="D8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S81" s="28" t="s">
        <v>2</v>
      </c>
      <c r="T81" s="118">
        <v>15.5</v>
      </c>
      <c r="U81" s="118">
        <f>SUM(T81*112)</f>
        <v>1736</v>
      </c>
      <c r="V81" s="118">
        <f t="shared" ref="V81:V90" si="42">SUM(T81*104)</f>
        <v>1612</v>
      </c>
      <c r="W81" s="118">
        <f t="shared" ref="W81:W90" si="43">SUM(T81*64)</f>
        <v>992</v>
      </c>
      <c r="X81" s="126">
        <f t="shared" ref="X81:X90" si="44">SUM(U81:W81)</f>
        <v>4340</v>
      </c>
      <c r="AA81"/>
    </row>
    <row r="82" spans="1:27" x14ac:dyDescent="0.25">
      <c r="A82"/>
      <c r="B82"/>
      <c r="C82"/>
      <c r="D8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S82" s="28" t="s">
        <v>3</v>
      </c>
      <c r="T82" s="118">
        <v>16.25</v>
      </c>
      <c r="U82" s="118">
        <f>SUM(T82*160)</f>
        <v>2600</v>
      </c>
      <c r="V82" s="118">
        <f t="shared" si="42"/>
        <v>1690</v>
      </c>
      <c r="W82" s="118">
        <f t="shared" si="43"/>
        <v>1040</v>
      </c>
      <c r="X82" s="126">
        <f t="shared" si="44"/>
        <v>5330</v>
      </c>
      <c r="AA82"/>
    </row>
    <row r="83" spans="1:27" x14ac:dyDescent="0.25">
      <c r="A83"/>
      <c r="B83"/>
      <c r="C83"/>
      <c r="D8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S83" s="28" t="s">
        <v>4</v>
      </c>
      <c r="T83" s="118">
        <v>17</v>
      </c>
      <c r="U83" s="118">
        <f t="shared" ref="U83:U85" si="45">SUM(T83*160)</f>
        <v>2720</v>
      </c>
      <c r="V83" s="118">
        <f t="shared" si="42"/>
        <v>1768</v>
      </c>
      <c r="W83" s="118">
        <f t="shared" si="43"/>
        <v>1088</v>
      </c>
      <c r="X83" s="126">
        <f t="shared" si="44"/>
        <v>5576</v>
      </c>
      <c r="AA83"/>
    </row>
    <row r="84" spans="1:27" x14ac:dyDescent="0.25">
      <c r="A84"/>
      <c r="B84"/>
      <c r="C84"/>
      <c r="D8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S84" s="28" t="s">
        <v>5</v>
      </c>
      <c r="T84" s="118">
        <v>18</v>
      </c>
      <c r="U84" s="118">
        <f t="shared" si="45"/>
        <v>2880</v>
      </c>
      <c r="V84" s="118">
        <f t="shared" si="42"/>
        <v>1872</v>
      </c>
      <c r="W84" s="118">
        <f t="shared" si="43"/>
        <v>1152</v>
      </c>
      <c r="X84" s="126">
        <f t="shared" si="44"/>
        <v>5904</v>
      </c>
      <c r="AA84"/>
    </row>
    <row r="85" spans="1:27" x14ac:dyDescent="0.25">
      <c r="A85"/>
      <c r="B85"/>
      <c r="C85"/>
      <c r="D8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S85" s="28" t="s">
        <v>6</v>
      </c>
      <c r="T85" s="118">
        <v>19</v>
      </c>
      <c r="U85" s="118">
        <f t="shared" si="45"/>
        <v>3040</v>
      </c>
      <c r="V85" s="118">
        <f t="shared" si="42"/>
        <v>1976</v>
      </c>
      <c r="W85" s="118">
        <f t="shared" si="43"/>
        <v>1216</v>
      </c>
      <c r="X85" s="126">
        <f t="shared" si="44"/>
        <v>6232</v>
      </c>
      <c r="AA85"/>
    </row>
    <row r="86" spans="1:27" x14ac:dyDescent="0.25">
      <c r="A86"/>
      <c r="B86"/>
      <c r="C86"/>
      <c r="D8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S86" s="28" t="s">
        <v>7</v>
      </c>
      <c r="T86" s="118">
        <v>20</v>
      </c>
      <c r="U86" s="118">
        <f>SUM(T86*208)</f>
        <v>4160</v>
      </c>
      <c r="V86" s="118">
        <f t="shared" si="42"/>
        <v>2080</v>
      </c>
      <c r="W86" s="118">
        <f t="shared" si="43"/>
        <v>1280</v>
      </c>
      <c r="X86" s="126">
        <f t="shared" si="44"/>
        <v>7520</v>
      </c>
      <c r="AA86"/>
    </row>
    <row r="87" spans="1:27" x14ac:dyDescent="0.25">
      <c r="A87"/>
      <c r="B87"/>
      <c r="C87"/>
      <c r="D8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S87" s="28" t="s">
        <v>8</v>
      </c>
      <c r="T87" s="118">
        <v>21</v>
      </c>
      <c r="U87" s="118">
        <f t="shared" ref="U87:U90" si="46">SUM(T87*208)</f>
        <v>4368</v>
      </c>
      <c r="V87" s="118">
        <f t="shared" si="42"/>
        <v>2184</v>
      </c>
      <c r="W87" s="118">
        <f t="shared" si="43"/>
        <v>1344</v>
      </c>
      <c r="X87" s="126">
        <f t="shared" si="44"/>
        <v>7896</v>
      </c>
      <c r="AA87"/>
    </row>
    <row r="88" spans="1:27" x14ac:dyDescent="0.25">
      <c r="A88"/>
      <c r="B88"/>
      <c r="C88"/>
      <c r="D8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S88" s="28" t="s">
        <v>9</v>
      </c>
      <c r="T88" s="118">
        <v>22</v>
      </c>
      <c r="U88" s="118">
        <f t="shared" si="46"/>
        <v>4576</v>
      </c>
      <c r="V88" s="118">
        <f t="shared" si="42"/>
        <v>2288</v>
      </c>
      <c r="W88" s="118">
        <f t="shared" si="43"/>
        <v>1408</v>
      </c>
      <c r="X88" s="126">
        <f t="shared" si="44"/>
        <v>8272</v>
      </c>
      <c r="AA88"/>
    </row>
    <row r="89" spans="1:27" x14ac:dyDescent="0.25">
      <c r="A89"/>
      <c r="B89"/>
      <c r="C89"/>
      <c r="D89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S89" s="28" t="s">
        <v>10</v>
      </c>
      <c r="T89" s="118">
        <v>23</v>
      </c>
      <c r="U89" s="118">
        <f t="shared" si="46"/>
        <v>4784</v>
      </c>
      <c r="V89" s="118">
        <f t="shared" si="42"/>
        <v>2392</v>
      </c>
      <c r="W89" s="118">
        <f t="shared" si="43"/>
        <v>1472</v>
      </c>
      <c r="X89" s="126">
        <f t="shared" si="44"/>
        <v>8648</v>
      </c>
      <c r="AA89"/>
    </row>
    <row r="90" spans="1:27" x14ac:dyDescent="0.25">
      <c r="A90"/>
      <c r="B90"/>
      <c r="C90"/>
      <c r="D90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S90" s="28" t="s">
        <v>11</v>
      </c>
      <c r="T90" s="118">
        <v>24</v>
      </c>
      <c r="U90" s="118">
        <f t="shared" si="46"/>
        <v>4992</v>
      </c>
      <c r="V90" s="118">
        <f t="shared" si="42"/>
        <v>2496</v>
      </c>
      <c r="W90" s="118">
        <f t="shared" si="43"/>
        <v>1536</v>
      </c>
      <c r="X90" s="126">
        <f t="shared" si="44"/>
        <v>9024</v>
      </c>
      <c r="AA90"/>
    </row>
    <row r="91" spans="1:27" x14ac:dyDescent="0.25">
      <c r="A91"/>
      <c r="B91"/>
      <c r="C91"/>
      <c r="D9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AA91"/>
    </row>
    <row r="92" spans="1:27" x14ac:dyDescent="0.25">
      <c r="A92"/>
      <c r="B92"/>
      <c r="C92"/>
      <c r="D9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AA92"/>
    </row>
    <row r="93" spans="1:27" x14ac:dyDescent="0.25">
      <c r="A93"/>
      <c r="B93"/>
      <c r="C93"/>
      <c r="D9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T93" s="35" t="s">
        <v>210</v>
      </c>
      <c r="U93" s="35" t="s">
        <v>37</v>
      </c>
      <c r="V93" s="35" t="s">
        <v>39</v>
      </c>
      <c r="W93" s="35" t="s">
        <v>30</v>
      </c>
      <c r="X93" s="39" t="s">
        <v>41</v>
      </c>
    </row>
    <row r="94" spans="1:27" x14ac:dyDescent="0.25">
      <c r="A94"/>
      <c r="B94"/>
      <c r="C94"/>
      <c r="D9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S94" s="28" t="s">
        <v>38</v>
      </c>
      <c r="T94" s="122">
        <v>16.5</v>
      </c>
      <c r="U94" s="122">
        <v>0</v>
      </c>
      <c r="V94" s="122">
        <f>SUM(T94*104)</f>
        <v>1716</v>
      </c>
      <c r="W94" s="122">
        <f>SUM(T94*64)</f>
        <v>1056</v>
      </c>
      <c r="X94" s="127">
        <f>SUM(U94:W94)</f>
        <v>2772</v>
      </c>
    </row>
    <row r="95" spans="1:27" x14ac:dyDescent="0.25">
      <c r="A95"/>
      <c r="B95"/>
      <c r="C95"/>
      <c r="D9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S95" s="28" t="s">
        <v>2</v>
      </c>
      <c r="T95" s="122">
        <v>17.05</v>
      </c>
      <c r="U95" s="122">
        <f>SUM(T95*112)</f>
        <v>1909.6000000000001</v>
      </c>
      <c r="V95" s="122">
        <f t="shared" ref="V95:V104" si="47">SUM(T95*104)</f>
        <v>1773.2</v>
      </c>
      <c r="W95" s="122">
        <f t="shared" ref="W95:W104" si="48">SUM(T95*64)</f>
        <v>1091.2</v>
      </c>
      <c r="X95" s="127">
        <f t="shared" ref="X95:X104" si="49">SUM(U95:W95)</f>
        <v>4774</v>
      </c>
    </row>
    <row r="96" spans="1:27" x14ac:dyDescent="0.25">
      <c r="A96"/>
      <c r="B96"/>
      <c r="C96"/>
      <c r="D9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S96" s="28" t="s">
        <v>3</v>
      </c>
      <c r="T96" s="122">
        <v>17.875</v>
      </c>
      <c r="U96" s="122">
        <f>SUM(T96*160)</f>
        <v>2860</v>
      </c>
      <c r="V96" s="122">
        <f t="shared" si="47"/>
        <v>1859</v>
      </c>
      <c r="W96" s="122">
        <f t="shared" si="48"/>
        <v>1144</v>
      </c>
      <c r="X96" s="127">
        <f t="shared" si="49"/>
        <v>5863</v>
      </c>
    </row>
    <row r="97" spans="1:27" x14ac:dyDescent="0.25">
      <c r="A97"/>
      <c r="B97"/>
      <c r="C97"/>
      <c r="D9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/>
      <c r="Q97"/>
      <c r="R97"/>
      <c r="S97" s="28" t="s">
        <v>4</v>
      </c>
      <c r="T97" s="122">
        <v>18.7</v>
      </c>
      <c r="U97" s="122">
        <f t="shared" ref="U97:U99" si="50">SUM(T97*160)</f>
        <v>2992</v>
      </c>
      <c r="V97" s="122">
        <f t="shared" si="47"/>
        <v>1944.8</v>
      </c>
      <c r="W97" s="122">
        <f t="shared" si="48"/>
        <v>1196.8</v>
      </c>
      <c r="X97" s="127">
        <f t="shared" si="49"/>
        <v>6133.6</v>
      </c>
    </row>
    <row r="98" spans="1:27" x14ac:dyDescent="0.25">
      <c r="A98"/>
      <c r="B98"/>
      <c r="C98"/>
      <c r="D9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/>
      <c r="Q98"/>
      <c r="R98"/>
      <c r="S98" s="28" t="s">
        <v>5</v>
      </c>
      <c r="T98" s="122">
        <v>19.8</v>
      </c>
      <c r="U98" s="122">
        <f t="shared" si="50"/>
        <v>3168</v>
      </c>
      <c r="V98" s="122">
        <f t="shared" si="47"/>
        <v>2059.2000000000003</v>
      </c>
      <c r="W98" s="122">
        <f t="shared" si="48"/>
        <v>1267.2</v>
      </c>
      <c r="X98" s="127">
        <f t="shared" si="49"/>
        <v>6494.4000000000005</v>
      </c>
    </row>
    <row r="99" spans="1:27" x14ac:dyDescent="0.25">
      <c r="A99"/>
      <c r="B99"/>
      <c r="C99"/>
      <c r="D99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/>
      <c r="Q99"/>
      <c r="R99"/>
      <c r="S99" s="28" t="s">
        <v>6</v>
      </c>
      <c r="T99" s="122">
        <v>20.9</v>
      </c>
      <c r="U99" s="122">
        <f t="shared" si="50"/>
        <v>3344</v>
      </c>
      <c r="V99" s="122">
        <f t="shared" si="47"/>
        <v>2173.6</v>
      </c>
      <c r="W99" s="122">
        <f t="shared" si="48"/>
        <v>1337.6</v>
      </c>
      <c r="X99" s="127">
        <f t="shared" si="49"/>
        <v>6855.2000000000007</v>
      </c>
      <c r="AA99"/>
    </row>
    <row r="100" spans="1:27" x14ac:dyDescent="0.25">
      <c r="A100"/>
      <c r="B100"/>
      <c r="C100"/>
      <c r="D10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/>
      <c r="Q100"/>
      <c r="R100"/>
      <c r="S100" s="28" t="s">
        <v>7</v>
      </c>
      <c r="T100" s="122">
        <v>22</v>
      </c>
      <c r="U100" s="122">
        <f>SUM(T100*208)</f>
        <v>4576</v>
      </c>
      <c r="V100" s="122">
        <f t="shared" si="47"/>
        <v>2288</v>
      </c>
      <c r="W100" s="122">
        <f t="shared" si="48"/>
        <v>1408</v>
      </c>
      <c r="X100" s="127">
        <f t="shared" si="49"/>
        <v>8272</v>
      </c>
      <c r="AA100"/>
    </row>
    <row r="101" spans="1:27" x14ac:dyDescent="0.25">
      <c r="A101"/>
      <c r="B101"/>
      <c r="C101"/>
      <c r="D10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/>
      <c r="Q101"/>
      <c r="R101"/>
      <c r="S101" s="28" t="s">
        <v>8</v>
      </c>
      <c r="T101" s="122">
        <v>23.1</v>
      </c>
      <c r="U101" s="122">
        <f t="shared" ref="U101:U104" si="51">SUM(T101*208)</f>
        <v>4804.8</v>
      </c>
      <c r="V101" s="122">
        <f t="shared" si="47"/>
        <v>2402.4</v>
      </c>
      <c r="W101" s="122">
        <f t="shared" si="48"/>
        <v>1478.4</v>
      </c>
      <c r="X101" s="127">
        <f t="shared" si="49"/>
        <v>8685.6</v>
      </c>
      <c r="AA101"/>
    </row>
    <row r="102" spans="1:27" x14ac:dyDescent="0.25">
      <c r="A102"/>
      <c r="B102"/>
      <c r="C102"/>
      <c r="D10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/>
      <c r="Q102"/>
      <c r="R102"/>
      <c r="S102" s="28" t="s">
        <v>9</v>
      </c>
      <c r="T102" s="122">
        <v>24.2</v>
      </c>
      <c r="U102" s="122">
        <f t="shared" si="51"/>
        <v>5033.5999999999995</v>
      </c>
      <c r="V102" s="122">
        <f t="shared" si="47"/>
        <v>2516.7999999999997</v>
      </c>
      <c r="W102" s="122">
        <f t="shared" si="48"/>
        <v>1548.8</v>
      </c>
      <c r="X102" s="127">
        <f t="shared" si="49"/>
        <v>9099.1999999999989</v>
      </c>
      <c r="AA102"/>
    </row>
    <row r="103" spans="1:27" x14ac:dyDescent="0.25">
      <c r="A103"/>
      <c r="B103"/>
      <c r="C103"/>
      <c r="D10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/>
      <c r="Q103"/>
      <c r="R103"/>
      <c r="S103" s="28" t="s">
        <v>10</v>
      </c>
      <c r="T103" s="122">
        <v>25.3</v>
      </c>
      <c r="U103" s="122">
        <f t="shared" si="51"/>
        <v>5262.4000000000005</v>
      </c>
      <c r="V103" s="122">
        <f t="shared" si="47"/>
        <v>2631.2000000000003</v>
      </c>
      <c r="W103" s="122">
        <f t="shared" si="48"/>
        <v>1619.2</v>
      </c>
      <c r="X103" s="127">
        <f t="shared" si="49"/>
        <v>9512.8000000000011</v>
      </c>
      <c r="AA103"/>
    </row>
    <row r="104" spans="1:27" x14ac:dyDescent="0.25">
      <c r="A104"/>
      <c r="B104"/>
      <c r="C104"/>
      <c r="D10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  <c r="Q104"/>
      <c r="R104"/>
      <c r="S104" s="28" t="s">
        <v>11</v>
      </c>
      <c r="T104" s="122">
        <v>26.4</v>
      </c>
      <c r="U104" s="122">
        <f t="shared" si="51"/>
        <v>5491.2</v>
      </c>
      <c r="V104" s="122">
        <f t="shared" si="47"/>
        <v>2745.6</v>
      </c>
      <c r="W104" s="122">
        <f t="shared" si="48"/>
        <v>1689.6</v>
      </c>
      <c r="X104" s="127">
        <f t="shared" si="49"/>
        <v>9926.4</v>
      </c>
      <c r="AA104"/>
    </row>
    <row r="105" spans="1:27" x14ac:dyDescent="0.25">
      <c r="A105"/>
      <c r="B105"/>
      <c r="C105"/>
      <c r="D10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/>
      <c r="Q105"/>
      <c r="R105"/>
      <c r="AA105"/>
    </row>
    <row r="106" spans="1:27" x14ac:dyDescent="0.25">
      <c r="A106"/>
      <c r="B106"/>
      <c r="C106"/>
      <c r="D10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/>
      <c r="Q106"/>
      <c r="R106"/>
      <c r="AA106"/>
    </row>
    <row r="107" spans="1:27" x14ac:dyDescent="0.25">
      <c r="A107"/>
      <c r="B107"/>
      <c r="C107"/>
      <c r="D10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/>
      <c r="Q107"/>
      <c r="R107"/>
      <c r="AA107"/>
    </row>
    <row r="108" spans="1:27" x14ac:dyDescent="0.25">
      <c r="A108"/>
      <c r="B108"/>
      <c r="C108"/>
      <c r="D10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/>
      <c r="Q108"/>
      <c r="R108"/>
      <c r="AA108"/>
    </row>
    <row r="109" spans="1:27" x14ac:dyDescent="0.25">
      <c r="A109"/>
      <c r="B109"/>
      <c r="C109"/>
      <c r="D109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/>
      <c r="Q109"/>
      <c r="R109"/>
      <c r="AA109"/>
    </row>
    <row r="110" spans="1:27" x14ac:dyDescent="0.25">
      <c r="A110"/>
      <c r="B110"/>
      <c r="C110"/>
      <c r="D110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/>
      <c r="Q110"/>
      <c r="R110"/>
      <c r="AA110"/>
    </row>
    <row r="111" spans="1:27" x14ac:dyDescent="0.25">
      <c r="A111"/>
      <c r="B111"/>
      <c r="C111"/>
      <c r="D11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  <c r="Q111"/>
      <c r="R111"/>
      <c r="AA111"/>
    </row>
    <row r="112" spans="1:27" x14ac:dyDescent="0.25">
      <c r="A112"/>
      <c r="B112"/>
      <c r="C112"/>
      <c r="D11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/>
      <c r="Q112"/>
      <c r="R112"/>
      <c r="AA112"/>
    </row>
    <row r="113" spans="1:27" x14ac:dyDescent="0.25">
      <c r="A113"/>
      <c r="B113"/>
      <c r="C113"/>
      <c r="D11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/>
      <c r="Q113"/>
      <c r="R113"/>
      <c r="AA113"/>
    </row>
    <row r="114" spans="1:27" x14ac:dyDescent="0.25">
      <c r="A114"/>
      <c r="B114"/>
      <c r="C114"/>
      <c r="D11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/>
      <c r="Q114"/>
      <c r="R114"/>
      <c r="AA114"/>
    </row>
    <row r="115" spans="1:27" x14ac:dyDescent="0.25">
      <c r="A115"/>
      <c r="B115"/>
      <c r="C115"/>
      <c r="D11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/>
      <c r="Q115"/>
      <c r="R115"/>
      <c r="AA115"/>
    </row>
    <row r="116" spans="1:27" x14ac:dyDescent="0.25">
      <c r="A116"/>
      <c r="B116"/>
      <c r="C116"/>
      <c r="D11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/>
      <c r="Q116"/>
      <c r="R116"/>
      <c r="AA116"/>
    </row>
    <row r="117" spans="1:27" x14ac:dyDescent="0.25">
      <c r="A117"/>
      <c r="B117"/>
      <c r="C117"/>
      <c r="D11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/>
      <c r="Q117"/>
      <c r="R117"/>
      <c r="AA117"/>
    </row>
    <row r="118" spans="1:27" x14ac:dyDescent="0.25">
      <c r="A118"/>
      <c r="B118"/>
      <c r="C118"/>
      <c r="D11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  <c r="Q118"/>
      <c r="R118"/>
      <c r="AA118"/>
    </row>
    <row r="119" spans="1:27" x14ac:dyDescent="0.25">
      <c r="A119"/>
      <c r="B119"/>
      <c r="C119"/>
      <c r="D119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/>
      <c r="Q119"/>
      <c r="R119"/>
      <c r="AA119"/>
    </row>
    <row r="120" spans="1:27" x14ac:dyDescent="0.25">
      <c r="A120"/>
      <c r="B120"/>
      <c r="C120"/>
      <c r="D120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/>
      <c r="Q120"/>
      <c r="R120"/>
      <c r="AA120"/>
    </row>
    <row r="121" spans="1:27" x14ac:dyDescent="0.25">
      <c r="A121"/>
      <c r="B121"/>
      <c r="C121"/>
      <c r="D12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/>
      <c r="Q121"/>
      <c r="R121"/>
      <c r="AA121"/>
    </row>
    <row r="122" spans="1:27" x14ac:dyDescent="0.25">
      <c r="A122"/>
      <c r="B122"/>
      <c r="C122"/>
      <c r="D12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/>
      <c r="Q122"/>
      <c r="R122"/>
      <c r="AA122"/>
    </row>
    <row r="123" spans="1:27" x14ac:dyDescent="0.25">
      <c r="A123"/>
      <c r="B123"/>
      <c r="C123"/>
      <c r="D12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/>
      <c r="Q123"/>
      <c r="R123"/>
      <c r="AA123"/>
    </row>
    <row r="124" spans="1:27" x14ac:dyDescent="0.25">
      <c r="A124"/>
      <c r="B124"/>
      <c r="C124"/>
      <c r="D12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/>
      <c r="Q124"/>
      <c r="R124"/>
      <c r="AA124"/>
    </row>
    <row r="125" spans="1:27" x14ac:dyDescent="0.25">
      <c r="A125"/>
      <c r="B125"/>
      <c r="C125"/>
      <c r="D12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/>
      <c r="Q125"/>
      <c r="R125"/>
      <c r="AA125"/>
    </row>
    <row r="126" spans="1:27" x14ac:dyDescent="0.25">
      <c r="A126"/>
      <c r="B126"/>
      <c r="C126"/>
      <c r="D12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/>
      <c r="Q126"/>
      <c r="R126"/>
      <c r="AA126"/>
    </row>
    <row r="127" spans="1:27" x14ac:dyDescent="0.25">
      <c r="A127"/>
      <c r="B127"/>
      <c r="C127"/>
      <c r="D12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/>
      <c r="Q127"/>
      <c r="R127"/>
      <c r="AA127"/>
    </row>
    <row r="128" spans="1:27" x14ac:dyDescent="0.25">
      <c r="A128"/>
      <c r="B128"/>
      <c r="C128"/>
      <c r="D12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/>
      <c r="Q128"/>
      <c r="R128"/>
      <c r="AA128"/>
    </row>
    <row r="129" spans="1:27" x14ac:dyDescent="0.25">
      <c r="A129"/>
      <c r="B129"/>
      <c r="C129"/>
      <c r="D129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/>
      <c r="Q129"/>
      <c r="R129"/>
      <c r="AA129"/>
    </row>
    <row r="130" spans="1:27" x14ac:dyDescent="0.25">
      <c r="A130"/>
      <c r="B130"/>
      <c r="C130"/>
      <c r="D130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/>
      <c r="Q130"/>
      <c r="R130"/>
      <c r="AA130"/>
    </row>
    <row r="131" spans="1:27" x14ac:dyDescent="0.25">
      <c r="A131"/>
      <c r="B131"/>
      <c r="C131"/>
      <c r="D13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/>
      <c r="Q131"/>
      <c r="R131"/>
      <c r="AA131"/>
    </row>
    <row r="132" spans="1:27" x14ac:dyDescent="0.25">
      <c r="A132"/>
      <c r="B132"/>
      <c r="C132"/>
      <c r="D13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/>
      <c r="Q132"/>
      <c r="R132"/>
      <c r="AA132"/>
    </row>
    <row r="133" spans="1:27" x14ac:dyDescent="0.25">
      <c r="A133"/>
      <c r="B133"/>
      <c r="C133"/>
      <c r="D13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/>
      <c r="Q133"/>
      <c r="R133"/>
      <c r="AA133"/>
    </row>
    <row r="134" spans="1:27" x14ac:dyDescent="0.25">
      <c r="A134"/>
      <c r="B134"/>
      <c r="C134"/>
      <c r="D13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/>
      <c r="Q134"/>
      <c r="R134"/>
      <c r="AA134"/>
    </row>
    <row r="135" spans="1:27" x14ac:dyDescent="0.25">
      <c r="A135"/>
      <c r="B135"/>
      <c r="C135"/>
      <c r="D13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/>
      <c r="Q135"/>
      <c r="R135"/>
      <c r="AA135"/>
    </row>
    <row r="136" spans="1:27" x14ac:dyDescent="0.25">
      <c r="A136"/>
      <c r="B136"/>
      <c r="C136"/>
      <c r="D13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/>
      <c r="Q136"/>
      <c r="R136"/>
      <c r="AA136"/>
    </row>
    <row r="137" spans="1:27" x14ac:dyDescent="0.25">
      <c r="A137"/>
      <c r="B137"/>
      <c r="C137"/>
      <c r="D13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/>
      <c r="Q137"/>
      <c r="R137"/>
      <c r="AA137"/>
    </row>
    <row r="138" spans="1:27" x14ac:dyDescent="0.25">
      <c r="A138"/>
      <c r="B138"/>
      <c r="C138"/>
      <c r="D13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/>
      <c r="Q138"/>
      <c r="R138"/>
      <c r="AA138"/>
    </row>
    <row r="139" spans="1:27" x14ac:dyDescent="0.25">
      <c r="A139"/>
      <c r="B139"/>
      <c r="C139"/>
      <c r="D139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/>
      <c r="Q139"/>
      <c r="R139"/>
      <c r="AA139"/>
    </row>
    <row r="140" spans="1:27" x14ac:dyDescent="0.25">
      <c r="A140"/>
      <c r="B140"/>
      <c r="C140"/>
      <c r="D140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/>
      <c r="Q140"/>
      <c r="R140"/>
      <c r="AA140"/>
    </row>
    <row r="141" spans="1:27" x14ac:dyDescent="0.25">
      <c r="A141"/>
      <c r="B141"/>
      <c r="C141"/>
      <c r="D14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/>
      <c r="Q141"/>
      <c r="R141"/>
      <c r="AA141"/>
    </row>
    <row r="142" spans="1:27" x14ac:dyDescent="0.25">
      <c r="A142"/>
      <c r="B142"/>
      <c r="C142"/>
      <c r="D14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/>
      <c r="Q142"/>
      <c r="R142"/>
      <c r="AA142"/>
    </row>
    <row r="143" spans="1:27" x14ac:dyDescent="0.25">
      <c r="A143"/>
      <c r="B143"/>
      <c r="C143"/>
      <c r="D14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/>
      <c r="Q143"/>
      <c r="R143"/>
      <c r="AA143"/>
    </row>
    <row r="144" spans="1:27" x14ac:dyDescent="0.25">
      <c r="A144"/>
      <c r="B144"/>
      <c r="C144"/>
      <c r="D14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/>
      <c r="Q144"/>
      <c r="R144"/>
      <c r="AA144"/>
    </row>
    <row r="145" spans="1:27" x14ac:dyDescent="0.25">
      <c r="A145"/>
      <c r="B145"/>
      <c r="C145"/>
      <c r="D14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/>
      <c r="Q145"/>
      <c r="R145"/>
      <c r="AA145"/>
    </row>
    <row r="146" spans="1:27" x14ac:dyDescent="0.25">
      <c r="A146"/>
      <c r="B146"/>
      <c r="C146"/>
      <c r="D14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/>
      <c r="Q146"/>
      <c r="R146"/>
      <c r="AA146"/>
    </row>
    <row r="147" spans="1:27" x14ac:dyDescent="0.25">
      <c r="A147"/>
      <c r="B147"/>
      <c r="C147"/>
      <c r="D14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/>
      <c r="Q147"/>
      <c r="R147"/>
      <c r="AA147"/>
    </row>
    <row r="148" spans="1:27" x14ac:dyDescent="0.25">
      <c r="A148"/>
      <c r="B148"/>
      <c r="C148"/>
      <c r="D148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/>
      <c r="Q148"/>
      <c r="R148"/>
      <c r="AA148"/>
    </row>
    <row r="149" spans="1:27" x14ac:dyDescent="0.25">
      <c r="A149"/>
      <c r="B149"/>
      <c r="C149"/>
      <c r="D149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/>
      <c r="Q149"/>
      <c r="R149"/>
      <c r="AA149"/>
    </row>
    <row r="150" spans="1:27" x14ac:dyDescent="0.25">
      <c r="A150"/>
      <c r="B150"/>
      <c r="C150"/>
      <c r="D150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  <c r="Q150"/>
      <c r="R150"/>
      <c r="AA150"/>
    </row>
    <row r="151" spans="1:27" x14ac:dyDescent="0.25">
      <c r="A151"/>
      <c r="B151"/>
      <c r="C151"/>
      <c r="D15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/>
      <c r="Q151"/>
      <c r="R151"/>
      <c r="AA151"/>
    </row>
    <row r="152" spans="1:27" x14ac:dyDescent="0.25">
      <c r="A152"/>
      <c r="B152"/>
      <c r="C152"/>
      <c r="D15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/>
      <c r="Q152"/>
      <c r="R152"/>
      <c r="AA152"/>
    </row>
    <row r="153" spans="1:27" x14ac:dyDescent="0.25">
      <c r="A153"/>
      <c r="B153"/>
      <c r="C153"/>
      <c r="D15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/>
      <c r="Q153"/>
      <c r="R153"/>
      <c r="AA153"/>
    </row>
    <row r="154" spans="1:27" x14ac:dyDescent="0.25">
      <c r="A154"/>
      <c r="B154"/>
      <c r="C154"/>
      <c r="D15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/>
      <c r="Q154"/>
      <c r="R154"/>
      <c r="AA154"/>
    </row>
    <row r="155" spans="1:27" x14ac:dyDescent="0.25">
      <c r="A155"/>
      <c r="B155"/>
      <c r="C155"/>
      <c r="D155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/>
      <c r="Q155"/>
      <c r="R155"/>
      <c r="AA155"/>
    </row>
    <row r="156" spans="1:27" x14ac:dyDescent="0.25">
      <c r="A156"/>
      <c r="B156"/>
      <c r="C156"/>
      <c r="D15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/>
      <c r="Q156"/>
      <c r="R156"/>
      <c r="AA156"/>
    </row>
    <row r="157" spans="1:27" x14ac:dyDescent="0.25">
      <c r="A157"/>
      <c r="B157"/>
      <c r="C157"/>
      <c r="D15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  <c r="Q157"/>
      <c r="R157"/>
      <c r="AA157"/>
    </row>
    <row r="158" spans="1:27" x14ac:dyDescent="0.25">
      <c r="A158"/>
      <c r="B158"/>
      <c r="C158"/>
      <c r="D158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/>
      <c r="Q158"/>
      <c r="R158"/>
      <c r="AA158"/>
    </row>
    <row r="159" spans="1:27" x14ac:dyDescent="0.25">
      <c r="A159"/>
      <c r="B159"/>
      <c r="C159"/>
      <c r="D159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/>
      <c r="Q159"/>
      <c r="R159"/>
      <c r="AA159"/>
    </row>
    <row r="160" spans="1:27" x14ac:dyDescent="0.25">
      <c r="A160"/>
      <c r="B160"/>
      <c r="C160"/>
      <c r="D160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/>
      <c r="Q160"/>
      <c r="R160"/>
      <c r="AA160"/>
    </row>
    <row r="161" spans="1:27" x14ac:dyDescent="0.25">
      <c r="A161"/>
      <c r="B161"/>
      <c r="C161"/>
      <c r="D16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/>
      <c r="Q161"/>
      <c r="R161"/>
      <c r="AA161"/>
    </row>
    <row r="162" spans="1:27" x14ac:dyDescent="0.25">
      <c r="A162"/>
      <c r="B162"/>
      <c r="C162"/>
      <c r="D16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/>
      <c r="Q162"/>
      <c r="R162"/>
      <c r="AA162"/>
    </row>
    <row r="163" spans="1:27" x14ac:dyDescent="0.25">
      <c r="A163"/>
      <c r="B163"/>
      <c r="C163"/>
      <c r="D16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/>
      <c r="Q163"/>
      <c r="R163"/>
      <c r="AA163"/>
    </row>
    <row r="164" spans="1:27" x14ac:dyDescent="0.25">
      <c r="A164"/>
      <c r="B164"/>
      <c r="C164"/>
      <c r="D16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  <c r="Q164"/>
      <c r="R164"/>
      <c r="AA164"/>
    </row>
    <row r="165" spans="1:27" x14ac:dyDescent="0.25">
      <c r="A165"/>
      <c r="B165"/>
      <c r="C165"/>
      <c r="D165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/>
      <c r="Q165"/>
      <c r="R165"/>
      <c r="AA165"/>
    </row>
    <row r="166" spans="1:27" x14ac:dyDescent="0.25">
      <c r="A166"/>
      <c r="B166"/>
      <c r="C166"/>
      <c r="D16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/>
      <c r="Q166"/>
      <c r="R166"/>
      <c r="AA166"/>
    </row>
    <row r="167" spans="1:27" x14ac:dyDescent="0.25">
      <c r="A167"/>
      <c r="B167"/>
      <c r="C167"/>
      <c r="D16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/>
      <c r="Q167"/>
      <c r="R167"/>
      <c r="AA167"/>
    </row>
    <row r="168" spans="1:27" x14ac:dyDescent="0.25">
      <c r="A168"/>
      <c r="B168"/>
      <c r="C168"/>
      <c r="D168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/>
      <c r="Q168"/>
      <c r="R168"/>
      <c r="AA168"/>
    </row>
    <row r="169" spans="1:27" x14ac:dyDescent="0.25">
      <c r="A169"/>
      <c r="B169"/>
      <c r="C169"/>
      <c r="D169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/>
      <c r="Q169"/>
      <c r="R169"/>
      <c r="AA169"/>
    </row>
    <row r="170" spans="1:27" x14ac:dyDescent="0.25">
      <c r="A170"/>
      <c r="B170"/>
      <c r="C170"/>
      <c r="D170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/>
      <c r="Q170"/>
      <c r="R170"/>
      <c r="AA170"/>
    </row>
    <row r="171" spans="1:27" x14ac:dyDescent="0.25">
      <c r="A171"/>
      <c r="B171"/>
      <c r="C171"/>
      <c r="D17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/>
      <c r="Q171"/>
      <c r="R171"/>
      <c r="AA171"/>
    </row>
    <row r="172" spans="1:27" x14ac:dyDescent="0.25">
      <c r="A172"/>
      <c r="B172"/>
      <c r="C172"/>
      <c r="D17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/>
      <c r="Q172"/>
      <c r="R172"/>
      <c r="AA172"/>
    </row>
    <row r="173" spans="1:27" x14ac:dyDescent="0.25">
      <c r="A173"/>
      <c r="B173"/>
      <c r="C173"/>
      <c r="D17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/>
      <c r="Q173"/>
      <c r="R173"/>
      <c r="AA173"/>
    </row>
    <row r="174" spans="1:27" x14ac:dyDescent="0.25">
      <c r="A174"/>
      <c r="B174"/>
      <c r="C174"/>
      <c r="D17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/>
      <c r="Q174"/>
      <c r="R174"/>
      <c r="AA174"/>
    </row>
    <row r="175" spans="1:27" x14ac:dyDescent="0.25">
      <c r="A175"/>
      <c r="B175"/>
      <c r="C175"/>
      <c r="D17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/>
      <c r="Q175"/>
      <c r="R175"/>
      <c r="AA175"/>
    </row>
    <row r="176" spans="1:27" x14ac:dyDescent="0.25">
      <c r="A176"/>
      <c r="B176"/>
      <c r="C176"/>
      <c r="D17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/>
      <c r="Q176"/>
      <c r="R176"/>
      <c r="AA176"/>
    </row>
    <row r="177" spans="1:27" x14ac:dyDescent="0.25">
      <c r="A177"/>
      <c r="B177"/>
      <c r="C177"/>
      <c r="D1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/>
      <c r="Q177"/>
      <c r="R177"/>
      <c r="AA177"/>
    </row>
    <row r="178" spans="1:27" x14ac:dyDescent="0.25">
      <c r="A178"/>
      <c r="B178"/>
      <c r="C178"/>
      <c r="D178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/>
      <c r="Q178"/>
      <c r="R178"/>
      <c r="AA178"/>
    </row>
    <row r="179" spans="1:27" x14ac:dyDescent="0.25">
      <c r="A179"/>
      <c r="B179"/>
      <c r="C179"/>
      <c r="D179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/>
      <c r="Q179"/>
      <c r="R179"/>
      <c r="AA179"/>
    </row>
    <row r="180" spans="1:27" x14ac:dyDescent="0.25">
      <c r="A180"/>
      <c r="B180"/>
      <c r="C180"/>
      <c r="D180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/>
      <c r="Q180"/>
      <c r="R180"/>
      <c r="AA180"/>
    </row>
    <row r="181" spans="1:27" x14ac:dyDescent="0.25">
      <c r="A181"/>
      <c r="B181"/>
      <c r="C181"/>
      <c r="D18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/>
      <c r="Q181"/>
      <c r="R181"/>
      <c r="AA181"/>
    </row>
    <row r="182" spans="1:27" x14ac:dyDescent="0.25">
      <c r="A182"/>
      <c r="B182"/>
      <c r="C182"/>
      <c r="D18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/>
      <c r="Q182"/>
      <c r="R182"/>
      <c r="AA182"/>
    </row>
    <row r="183" spans="1:27" x14ac:dyDescent="0.25">
      <c r="A183"/>
      <c r="B183"/>
      <c r="C183"/>
      <c r="D18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/>
      <c r="Q183"/>
      <c r="R183"/>
      <c r="AA183"/>
    </row>
    <row r="184" spans="1:27" x14ac:dyDescent="0.25">
      <c r="A184"/>
      <c r="B184"/>
      <c r="C184"/>
      <c r="D18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/>
      <c r="Q184"/>
      <c r="R184"/>
      <c r="AA184"/>
    </row>
    <row r="185" spans="1:27" x14ac:dyDescent="0.25">
      <c r="A185"/>
      <c r="B185"/>
      <c r="C185"/>
      <c r="D18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/>
      <c r="Q185"/>
      <c r="R185"/>
      <c r="AA185"/>
    </row>
    <row r="186" spans="1:27" x14ac:dyDescent="0.25">
      <c r="A186"/>
      <c r="B186"/>
      <c r="C186"/>
      <c r="D18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/>
      <c r="Q186"/>
      <c r="R186"/>
      <c r="AA186"/>
    </row>
    <row r="187" spans="1:27" x14ac:dyDescent="0.25">
      <c r="A187"/>
      <c r="B187"/>
      <c r="C187"/>
      <c r="D18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/>
      <c r="Q187"/>
      <c r="R187"/>
      <c r="AA187"/>
    </row>
    <row r="188" spans="1:27" x14ac:dyDescent="0.25">
      <c r="A188"/>
      <c r="B188"/>
      <c r="C188"/>
      <c r="D188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/>
      <c r="Q188"/>
      <c r="R188"/>
      <c r="AA188"/>
    </row>
    <row r="189" spans="1:27" x14ac:dyDescent="0.25">
      <c r="A189"/>
      <c r="B189"/>
      <c r="C189"/>
      <c r="D189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/>
      <c r="Q189"/>
      <c r="R189"/>
      <c r="AA189"/>
    </row>
    <row r="190" spans="1:27" x14ac:dyDescent="0.25">
      <c r="A190"/>
      <c r="B190"/>
      <c r="C190"/>
      <c r="D190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/>
      <c r="Q190"/>
      <c r="R190"/>
      <c r="AA190"/>
    </row>
    <row r="191" spans="1:27" x14ac:dyDescent="0.25">
      <c r="A191"/>
      <c r="B191"/>
      <c r="C191"/>
      <c r="D19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/>
      <c r="Q191"/>
      <c r="R191"/>
      <c r="AA191"/>
    </row>
    <row r="192" spans="1:27" x14ac:dyDescent="0.25">
      <c r="A192"/>
      <c r="B192"/>
      <c r="C192"/>
      <c r="D19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/>
      <c r="Q192"/>
      <c r="R192"/>
      <c r="AA192"/>
    </row>
    <row r="193" spans="1:27" x14ac:dyDescent="0.25">
      <c r="A193"/>
      <c r="B193"/>
      <c r="C193"/>
      <c r="D19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/>
      <c r="Q193"/>
      <c r="R193"/>
      <c r="AA193"/>
    </row>
    <row r="194" spans="1:27" x14ac:dyDescent="0.25">
      <c r="A194"/>
      <c r="B194"/>
      <c r="C194"/>
      <c r="D19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/>
      <c r="Q194"/>
      <c r="R194"/>
      <c r="AA194"/>
    </row>
    <row r="195" spans="1:27" x14ac:dyDescent="0.25">
      <c r="A195"/>
      <c r="B195"/>
      <c r="C195"/>
      <c r="D195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/>
      <c r="Q195"/>
      <c r="R195"/>
      <c r="AA195"/>
    </row>
    <row r="196" spans="1:27" x14ac:dyDescent="0.25">
      <c r="A196"/>
      <c r="B196"/>
      <c r="C196"/>
      <c r="D19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/>
      <c r="Q196"/>
      <c r="R196"/>
      <c r="AA196"/>
    </row>
    <row r="197" spans="1:27" x14ac:dyDescent="0.25">
      <c r="A197"/>
      <c r="B197"/>
      <c r="C197"/>
      <c r="D19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/>
      <c r="Q197"/>
      <c r="R197"/>
      <c r="AA197"/>
    </row>
    <row r="198" spans="1:27" x14ac:dyDescent="0.25">
      <c r="A198"/>
      <c r="B198"/>
      <c r="C198"/>
      <c r="D198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/>
      <c r="Q198"/>
      <c r="R198"/>
      <c r="AA198"/>
    </row>
    <row r="199" spans="1:27" x14ac:dyDescent="0.25">
      <c r="A199"/>
      <c r="B199"/>
      <c r="C199"/>
      <c r="D199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  <c r="Q199"/>
      <c r="R199"/>
      <c r="AA199"/>
    </row>
    <row r="200" spans="1:27" x14ac:dyDescent="0.25">
      <c r="A200"/>
      <c r="B200"/>
      <c r="C200"/>
      <c r="D200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/>
      <c r="Q200"/>
      <c r="R200"/>
      <c r="AA200"/>
    </row>
    <row r="201" spans="1:27" x14ac:dyDescent="0.25">
      <c r="A201"/>
      <c r="B201"/>
      <c r="C201"/>
      <c r="D20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/>
      <c r="Q201"/>
      <c r="R201"/>
      <c r="AA201"/>
    </row>
    <row r="202" spans="1:27" x14ac:dyDescent="0.25">
      <c r="A202"/>
      <c r="B202"/>
      <c r="C202"/>
      <c r="D20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/>
      <c r="Q202"/>
      <c r="R202"/>
      <c r="AA202"/>
    </row>
    <row r="203" spans="1:27" x14ac:dyDescent="0.25">
      <c r="A203"/>
      <c r="B203"/>
      <c r="C203"/>
      <c r="D20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/>
      <c r="Q203"/>
      <c r="R203"/>
      <c r="AA203"/>
    </row>
    <row r="204" spans="1:27" x14ac:dyDescent="0.25">
      <c r="A204"/>
      <c r="B204"/>
      <c r="C204"/>
      <c r="D20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/>
      <c r="Q204"/>
      <c r="R204"/>
      <c r="AA204"/>
    </row>
    <row r="205" spans="1:27" x14ac:dyDescent="0.25">
      <c r="A205"/>
      <c r="B205"/>
      <c r="C205"/>
      <c r="D205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/>
      <c r="Q205"/>
      <c r="R205"/>
      <c r="AA205"/>
    </row>
    <row r="206" spans="1:27" x14ac:dyDescent="0.25">
      <c r="A206"/>
      <c r="B206"/>
      <c r="C206"/>
      <c r="D20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  <c r="Q206"/>
      <c r="R206"/>
      <c r="AA206"/>
    </row>
    <row r="207" spans="1:27" x14ac:dyDescent="0.25">
      <c r="A207"/>
      <c r="B207"/>
      <c r="C207"/>
      <c r="D20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/>
      <c r="Q207"/>
      <c r="R207"/>
      <c r="AA207"/>
    </row>
    <row r="208" spans="1:27" x14ac:dyDescent="0.25">
      <c r="A208"/>
      <c r="B208"/>
      <c r="C208"/>
      <c r="D208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/>
      <c r="Q208"/>
      <c r="R208"/>
      <c r="AA208"/>
    </row>
    <row r="209" spans="1:27" x14ac:dyDescent="0.25">
      <c r="A209"/>
      <c r="B209"/>
      <c r="C209"/>
      <c r="D209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/>
      <c r="Q209"/>
      <c r="R209"/>
      <c r="AA209"/>
    </row>
    <row r="210" spans="1:27" x14ac:dyDescent="0.25">
      <c r="A210"/>
      <c r="B210"/>
      <c r="C210"/>
      <c r="D210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/>
      <c r="Q210"/>
      <c r="R210"/>
      <c r="AA210"/>
    </row>
    <row r="211" spans="1:27" x14ac:dyDescent="0.25">
      <c r="A211"/>
      <c r="B211"/>
      <c r="C211"/>
      <c r="D21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/>
      <c r="Q211"/>
      <c r="R211"/>
      <c r="AA211"/>
    </row>
    <row r="212" spans="1:27" x14ac:dyDescent="0.25">
      <c r="A212"/>
      <c r="B212"/>
      <c r="C212"/>
      <c r="D21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/>
      <c r="Q212"/>
      <c r="R212"/>
      <c r="AA212"/>
    </row>
    <row r="213" spans="1:27" x14ac:dyDescent="0.25">
      <c r="A213"/>
      <c r="B213"/>
      <c r="C213"/>
      <c r="D21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  <c r="Q213"/>
      <c r="R213"/>
      <c r="AA213"/>
    </row>
    <row r="214" spans="1:27" x14ac:dyDescent="0.25">
      <c r="A214"/>
      <c r="B214"/>
      <c r="C214"/>
      <c r="D21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/>
      <c r="Q214"/>
      <c r="R214"/>
      <c r="AA214"/>
    </row>
    <row r="215" spans="1:27" x14ac:dyDescent="0.25">
      <c r="A215"/>
      <c r="B215"/>
      <c r="C215"/>
      <c r="D215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/>
      <c r="Q215"/>
      <c r="R215"/>
      <c r="AA215"/>
    </row>
    <row r="216" spans="1:27" x14ac:dyDescent="0.25">
      <c r="A216"/>
      <c r="B216"/>
      <c r="C216"/>
      <c r="D21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/>
      <c r="Q216"/>
      <c r="R216"/>
      <c r="AA216"/>
    </row>
    <row r="217" spans="1:27" x14ac:dyDescent="0.25">
      <c r="A217"/>
      <c r="B217"/>
      <c r="C217"/>
      <c r="D21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/>
      <c r="Q217"/>
      <c r="R217"/>
      <c r="AA217"/>
    </row>
    <row r="218" spans="1:27" x14ac:dyDescent="0.25">
      <c r="A218"/>
      <c r="B218"/>
      <c r="C218"/>
      <c r="D21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/>
      <c r="Q218"/>
      <c r="R218"/>
      <c r="AA218"/>
    </row>
    <row r="219" spans="1:27" x14ac:dyDescent="0.25">
      <c r="A219"/>
      <c r="B219"/>
      <c r="C219"/>
      <c r="D219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/>
      <c r="Q219"/>
      <c r="R219"/>
      <c r="AA219"/>
    </row>
    <row r="220" spans="1:27" x14ac:dyDescent="0.25">
      <c r="A220"/>
      <c r="B220"/>
      <c r="C220"/>
      <c r="D220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/>
      <c r="Q220"/>
      <c r="R220"/>
      <c r="AA220"/>
    </row>
    <row r="221" spans="1:27" x14ac:dyDescent="0.25">
      <c r="A221"/>
      <c r="B221"/>
      <c r="C221"/>
      <c r="D22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/>
      <c r="Q221"/>
      <c r="R221"/>
      <c r="AA221"/>
    </row>
    <row r="222" spans="1:27" x14ac:dyDescent="0.25">
      <c r="A222"/>
      <c r="B222"/>
      <c r="C222"/>
      <c r="D22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/>
      <c r="Q222"/>
      <c r="R222"/>
      <c r="AA222"/>
    </row>
    <row r="223" spans="1:27" x14ac:dyDescent="0.25">
      <c r="A223"/>
      <c r="B223"/>
      <c r="C223"/>
      <c r="D22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/>
      <c r="Q223"/>
      <c r="R223"/>
      <c r="AA223"/>
    </row>
    <row r="224" spans="1:27" x14ac:dyDescent="0.25">
      <c r="A224"/>
      <c r="B224"/>
      <c r="C224"/>
      <c r="D22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/>
      <c r="Q224"/>
      <c r="R224"/>
      <c r="AA224"/>
    </row>
    <row r="225" spans="1:27" x14ac:dyDescent="0.25">
      <c r="A225"/>
      <c r="B225"/>
      <c r="C225"/>
      <c r="D225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/>
      <c r="Q225"/>
      <c r="R225"/>
      <c r="AA225"/>
    </row>
    <row r="226" spans="1:27" x14ac:dyDescent="0.25">
      <c r="A226"/>
      <c r="B226"/>
      <c r="C226"/>
      <c r="D22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/>
      <c r="Q226"/>
      <c r="R226"/>
      <c r="AA226"/>
    </row>
    <row r="227" spans="1:27" x14ac:dyDescent="0.25">
      <c r="A227"/>
      <c r="B227"/>
      <c r="C227"/>
      <c r="D22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/>
      <c r="Q227"/>
      <c r="R227"/>
      <c r="AA227"/>
    </row>
    <row r="228" spans="1:27" x14ac:dyDescent="0.25">
      <c r="A228"/>
      <c r="B228"/>
      <c r="C228"/>
      <c r="D22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/>
      <c r="Q228"/>
      <c r="R228"/>
      <c r="AA228"/>
    </row>
    <row r="229" spans="1:27" x14ac:dyDescent="0.25">
      <c r="A229"/>
      <c r="B229"/>
      <c r="C229"/>
      <c r="D229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/>
      <c r="Q229"/>
      <c r="R229"/>
      <c r="AA229"/>
    </row>
    <row r="230" spans="1:27" x14ac:dyDescent="0.25">
      <c r="A230"/>
      <c r="B230"/>
      <c r="C230"/>
      <c r="D230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/>
      <c r="Q230"/>
      <c r="R230"/>
      <c r="AA230"/>
    </row>
    <row r="231" spans="1:27" x14ac:dyDescent="0.25">
      <c r="A231"/>
      <c r="B231"/>
      <c r="C231"/>
      <c r="D23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/>
      <c r="Q231"/>
      <c r="R231"/>
      <c r="AA231"/>
    </row>
    <row r="232" spans="1:27" x14ac:dyDescent="0.25">
      <c r="A232"/>
      <c r="B232"/>
      <c r="C232"/>
      <c r="D23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/>
      <c r="Q232"/>
      <c r="R232"/>
      <c r="AA232"/>
    </row>
    <row r="233" spans="1:27" x14ac:dyDescent="0.25">
      <c r="A233"/>
      <c r="B233"/>
      <c r="C233"/>
      <c r="D23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/>
      <c r="Q233"/>
      <c r="R233"/>
      <c r="AA233"/>
    </row>
    <row r="234" spans="1:27" x14ac:dyDescent="0.25">
      <c r="A234"/>
      <c r="B234"/>
      <c r="C234"/>
      <c r="D23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/>
      <c r="Q234"/>
      <c r="R234"/>
      <c r="AA234"/>
    </row>
    <row r="235" spans="1:27" x14ac:dyDescent="0.25">
      <c r="A235"/>
      <c r="B235"/>
      <c r="C235"/>
      <c r="D235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/>
      <c r="Q235"/>
      <c r="R235"/>
      <c r="AA235"/>
    </row>
    <row r="236" spans="1:27" x14ac:dyDescent="0.25">
      <c r="A236"/>
      <c r="B236"/>
      <c r="C236"/>
      <c r="D23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/>
      <c r="Q236"/>
      <c r="R236"/>
      <c r="AA236"/>
    </row>
    <row r="237" spans="1:27" x14ac:dyDescent="0.25">
      <c r="A237"/>
      <c r="B237"/>
      <c r="C237"/>
      <c r="D23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/>
      <c r="Q237"/>
      <c r="R237"/>
      <c r="AA237"/>
    </row>
    <row r="238" spans="1:27" x14ac:dyDescent="0.25">
      <c r="A238"/>
      <c r="B238"/>
      <c r="C238"/>
      <c r="D23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/>
      <c r="Q238"/>
      <c r="R238"/>
      <c r="AA238"/>
    </row>
    <row r="239" spans="1:27" x14ac:dyDescent="0.25">
      <c r="A239"/>
      <c r="B239"/>
      <c r="C239"/>
      <c r="D239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/>
      <c r="Q239"/>
      <c r="R239"/>
      <c r="AA239"/>
    </row>
    <row r="240" spans="1:27" x14ac:dyDescent="0.25">
      <c r="A240"/>
      <c r="B240"/>
      <c r="C240"/>
      <c r="D240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/>
      <c r="Q240"/>
      <c r="R240"/>
      <c r="AA240"/>
    </row>
    <row r="241" spans="1:27" x14ac:dyDescent="0.25">
      <c r="A241"/>
      <c r="B241"/>
      <c r="C241"/>
      <c r="D24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/>
      <c r="Q241"/>
      <c r="R241"/>
      <c r="AA241"/>
    </row>
    <row r="242" spans="1:27" x14ac:dyDescent="0.25">
      <c r="A242"/>
      <c r="B242"/>
      <c r="C242"/>
      <c r="D24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/>
      <c r="Q242"/>
      <c r="R242"/>
      <c r="AA242"/>
    </row>
    <row r="243" spans="1:27" x14ac:dyDescent="0.25">
      <c r="A243"/>
      <c r="B243"/>
      <c r="C243"/>
      <c r="D24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/>
      <c r="Q243"/>
      <c r="R243"/>
      <c r="AA243"/>
    </row>
    <row r="244" spans="1:27" x14ac:dyDescent="0.25">
      <c r="A244"/>
      <c r="B244"/>
      <c r="C244"/>
      <c r="D24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/>
      <c r="Q244"/>
      <c r="R244"/>
      <c r="AA244"/>
    </row>
    <row r="245" spans="1:27" x14ac:dyDescent="0.25">
      <c r="A245"/>
      <c r="B245"/>
      <c r="C245"/>
      <c r="D245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  <c r="Q245"/>
      <c r="R245"/>
      <c r="AA245"/>
    </row>
    <row r="246" spans="1:27" x14ac:dyDescent="0.25">
      <c r="A246"/>
      <c r="B246"/>
      <c r="C246"/>
      <c r="D24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/>
      <c r="Q246"/>
      <c r="R246"/>
      <c r="AA246"/>
    </row>
    <row r="247" spans="1:27" x14ac:dyDescent="0.25">
      <c r="A247"/>
      <c r="B247"/>
      <c r="C247"/>
      <c r="D24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/>
      <c r="Q247"/>
      <c r="R247"/>
      <c r="AA247"/>
    </row>
    <row r="248" spans="1:27" x14ac:dyDescent="0.25">
      <c r="A248"/>
      <c r="B248"/>
      <c r="C248"/>
      <c r="D24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/>
      <c r="Q248"/>
      <c r="R248"/>
      <c r="AA248"/>
    </row>
    <row r="249" spans="1:27" x14ac:dyDescent="0.25">
      <c r="A249"/>
      <c r="B249"/>
      <c r="C249"/>
      <c r="D249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/>
      <c r="Q249"/>
      <c r="R249"/>
      <c r="AA249"/>
    </row>
    <row r="250" spans="1:27" x14ac:dyDescent="0.25">
      <c r="A250"/>
      <c r="B250"/>
      <c r="C250"/>
      <c r="D250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/>
      <c r="Q250"/>
      <c r="R250"/>
      <c r="AA250"/>
    </row>
    <row r="251" spans="1:27" x14ac:dyDescent="0.25">
      <c r="A251"/>
      <c r="B251"/>
      <c r="C251"/>
      <c r="D25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/>
      <c r="Q251"/>
      <c r="R251"/>
      <c r="AA251"/>
    </row>
    <row r="252" spans="1:27" x14ac:dyDescent="0.25">
      <c r="A252"/>
      <c r="B252"/>
      <c r="C252"/>
      <c r="D25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  <c r="Q252"/>
      <c r="R252"/>
      <c r="AA252"/>
    </row>
    <row r="253" spans="1:27" x14ac:dyDescent="0.25">
      <c r="A253"/>
      <c r="B253"/>
      <c r="C253"/>
      <c r="D25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/>
      <c r="Q253"/>
      <c r="R253"/>
      <c r="AA253"/>
    </row>
    <row r="254" spans="1:27" x14ac:dyDescent="0.25">
      <c r="A254"/>
      <c r="B254"/>
      <c r="C254"/>
      <c r="D25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/>
      <c r="Q254"/>
      <c r="R254"/>
      <c r="AA254"/>
    </row>
    <row r="255" spans="1:27" x14ac:dyDescent="0.25">
      <c r="A255"/>
      <c r="B255"/>
      <c r="C255"/>
      <c r="D255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/>
      <c r="Q255"/>
      <c r="R255"/>
      <c r="AA255"/>
    </row>
    <row r="256" spans="1:27" x14ac:dyDescent="0.25">
      <c r="A256"/>
      <c r="B256"/>
      <c r="C256"/>
      <c r="D25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/>
      <c r="Q256"/>
      <c r="R256"/>
      <c r="AA256"/>
    </row>
    <row r="257" spans="1:27" x14ac:dyDescent="0.25">
      <c r="A257"/>
      <c r="B257"/>
      <c r="C257"/>
      <c r="D25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/>
      <c r="Q257"/>
      <c r="R257"/>
      <c r="AA257"/>
    </row>
    <row r="258" spans="1:27" x14ac:dyDescent="0.25">
      <c r="A258"/>
      <c r="B258"/>
      <c r="C258"/>
      <c r="D25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/>
      <c r="Q258"/>
      <c r="R258"/>
      <c r="AA258"/>
    </row>
    <row r="259" spans="1:27" x14ac:dyDescent="0.25">
      <c r="A259"/>
      <c r="B259"/>
      <c r="C259"/>
      <c r="D259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  <c r="Q259"/>
      <c r="R259"/>
      <c r="AA259"/>
    </row>
    <row r="260" spans="1:27" x14ac:dyDescent="0.25">
      <c r="A260"/>
      <c r="B260"/>
      <c r="C260"/>
      <c r="D260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/>
      <c r="Q260"/>
      <c r="R260"/>
      <c r="AA260"/>
    </row>
    <row r="261" spans="1:27" x14ac:dyDescent="0.25">
      <c r="A261"/>
      <c r="B261"/>
      <c r="C261"/>
      <c r="D26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/>
      <c r="Q261"/>
      <c r="R261"/>
      <c r="AA261"/>
    </row>
    <row r="262" spans="1:27" x14ac:dyDescent="0.25">
      <c r="A262"/>
      <c r="B262"/>
      <c r="C262"/>
      <c r="D26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/>
      <c r="Q262"/>
      <c r="R262"/>
      <c r="AA262"/>
    </row>
    <row r="263" spans="1:27" x14ac:dyDescent="0.25">
      <c r="A263"/>
      <c r="B263"/>
      <c r="C263"/>
      <c r="D26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/>
      <c r="Q263"/>
      <c r="R263"/>
      <c r="AA263"/>
    </row>
    <row r="264" spans="1:27" x14ac:dyDescent="0.25">
      <c r="A264"/>
      <c r="B264"/>
      <c r="C264"/>
      <c r="D26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/>
      <c r="Q264"/>
      <c r="R264"/>
      <c r="AA264"/>
    </row>
    <row r="265" spans="1:27" x14ac:dyDescent="0.25">
      <c r="A265"/>
      <c r="B265"/>
      <c r="C265"/>
      <c r="D265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/>
      <c r="Q265"/>
      <c r="R265"/>
      <c r="AA265"/>
    </row>
    <row r="266" spans="1:27" x14ac:dyDescent="0.25">
      <c r="A266"/>
      <c r="B266"/>
      <c r="C266"/>
      <c r="D26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/>
      <c r="Q266"/>
      <c r="R266"/>
      <c r="AA266"/>
    </row>
    <row r="267" spans="1:27" x14ac:dyDescent="0.25">
      <c r="A267"/>
      <c r="B267"/>
      <c r="C267"/>
      <c r="D267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/>
      <c r="Q267"/>
      <c r="R267"/>
      <c r="AA267"/>
    </row>
    <row r="268" spans="1:27" x14ac:dyDescent="0.25">
      <c r="A268"/>
      <c r="B268"/>
      <c r="C268"/>
      <c r="D268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/>
      <c r="Q268"/>
      <c r="R268"/>
      <c r="AA268"/>
    </row>
    <row r="269" spans="1:27" x14ac:dyDescent="0.25">
      <c r="A269"/>
      <c r="B269"/>
      <c r="C269"/>
      <c r="D269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/>
      <c r="Q269"/>
      <c r="R269"/>
      <c r="AA269"/>
    </row>
    <row r="270" spans="1:27" x14ac:dyDescent="0.25">
      <c r="A270"/>
      <c r="B270"/>
      <c r="C270"/>
      <c r="D270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/>
      <c r="Q270"/>
      <c r="R270"/>
      <c r="AA270"/>
    </row>
    <row r="271" spans="1:27" x14ac:dyDescent="0.25">
      <c r="A271"/>
      <c r="B271"/>
      <c r="C271"/>
      <c r="D27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/>
      <c r="Q271"/>
      <c r="R271"/>
      <c r="AA271"/>
    </row>
    <row r="272" spans="1:27" x14ac:dyDescent="0.25">
      <c r="A272"/>
      <c r="B272"/>
      <c r="C272"/>
      <c r="D27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/>
      <c r="Q272"/>
      <c r="R272"/>
      <c r="AA272"/>
    </row>
    <row r="273" spans="1:27" x14ac:dyDescent="0.25">
      <c r="A273"/>
      <c r="B273"/>
      <c r="C273"/>
      <c r="D27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/>
      <c r="Q273"/>
      <c r="R273"/>
      <c r="AA273"/>
    </row>
    <row r="274" spans="1:27" x14ac:dyDescent="0.25">
      <c r="A274"/>
      <c r="B274"/>
      <c r="C274"/>
      <c r="D27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/>
      <c r="Q274"/>
      <c r="R274"/>
      <c r="AA274"/>
    </row>
    <row r="275" spans="1:27" x14ac:dyDescent="0.25">
      <c r="A275"/>
      <c r="B275"/>
      <c r="C275"/>
      <c r="D27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/>
      <c r="Q275"/>
      <c r="R275"/>
      <c r="AA275"/>
    </row>
    <row r="276" spans="1:27" x14ac:dyDescent="0.25">
      <c r="A276"/>
      <c r="B276"/>
      <c r="C276"/>
      <c r="D27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/>
      <c r="Q276"/>
      <c r="R276"/>
      <c r="AA276"/>
    </row>
    <row r="277" spans="1:27" x14ac:dyDescent="0.25">
      <c r="A277"/>
      <c r="B277"/>
      <c r="C277"/>
      <c r="D277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/>
      <c r="Q277"/>
      <c r="R277"/>
      <c r="AA277"/>
    </row>
    <row r="278" spans="1:27" x14ac:dyDescent="0.25">
      <c r="A278"/>
      <c r="B278"/>
      <c r="C278"/>
      <c r="D278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/>
      <c r="Q278"/>
      <c r="R278"/>
      <c r="AA278"/>
    </row>
    <row r="279" spans="1:27" x14ac:dyDescent="0.25">
      <c r="A279"/>
      <c r="B279"/>
      <c r="C279"/>
      <c r="D279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/>
      <c r="Q279"/>
      <c r="R279"/>
      <c r="AA279"/>
    </row>
    <row r="280" spans="1:27" x14ac:dyDescent="0.25">
      <c r="A280"/>
      <c r="B280"/>
      <c r="C280"/>
      <c r="D280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/>
      <c r="Q280"/>
      <c r="R280"/>
      <c r="AA280"/>
    </row>
    <row r="281" spans="1:27" x14ac:dyDescent="0.25">
      <c r="A281"/>
      <c r="B281"/>
      <c r="C281"/>
      <c r="D28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/>
      <c r="Q281"/>
      <c r="R281"/>
      <c r="AA281"/>
    </row>
    <row r="282" spans="1:27" x14ac:dyDescent="0.25">
      <c r="A282"/>
      <c r="B282"/>
      <c r="C282"/>
      <c r="D28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/>
      <c r="Q282"/>
      <c r="R282"/>
      <c r="AA282"/>
    </row>
    <row r="283" spans="1:27" x14ac:dyDescent="0.25">
      <c r="A283"/>
      <c r="B283"/>
      <c r="C283"/>
      <c r="D28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/>
      <c r="Q283"/>
      <c r="R283"/>
      <c r="AA283"/>
    </row>
    <row r="284" spans="1:27" x14ac:dyDescent="0.25">
      <c r="A284"/>
      <c r="B284"/>
      <c r="C284"/>
      <c r="D28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/>
      <c r="Q284"/>
      <c r="R284"/>
      <c r="AA284"/>
    </row>
    <row r="285" spans="1:27" x14ac:dyDescent="0.25">
      <c r="A285"/>
      <c r="B285"/>
      <c r="C285"/>
      <c r="D285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/>
      <c r="Q285"/>
      <c r="R285"/>
      <c r="AA285"/>
    </row>
    <row r="286" spans="1:27" x14ac:dyDescent="0.25">
      <c r="A286"/>
      <c r="B286"/>
      <c r="C286"/>
      <c r="D28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/>
      <c r="Q286"/>
      <c r="R286"/>
      <c r="AA286"/>
    </row>
    <row r="287" spans="1:27" x14ac:dyDescent="0.25">
      <c r="A287"/>
      <c r="B287"/>
      <c r="C287"/>
      <c r="D287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/>
      <c r="Q287"/>
      <c r="R287"/>
      <c r="AA287"/>
    </row>
    <row r="288" spans="1:27" x14ac:dyDescent="0.25">
      <c r="A288"/>
      <c r="B288"/>
      <c r="C288"/>
      <c r="D288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/>
      <c r="Q288"/>
      <c r="R288"/>
      <c r="AA288"/>
    </row>
    <row r="289" spans="1:27" x14ac:dyDescent="0.25">
      <c r="A289"/>
      <c r="B289"/>
      <c r="C289"/>
      <c r="D289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/>
      <c r="Q289"/>
      <c r="R289"/>
      <c r="AA289"/>
    </row>
    <row r="290" spans="1:27" x14ac:dyDescent="0.25">
      <c r="A290"/>
      <c r="B290"/>
      <c r="C290"/>
      <c r="D290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/>
      <c r="Q290"/>
      <c r="R290"/>
      <c r="AA290"/>
    </row>
    <row r="291" spans="1:27" x14ac:dyDescent="0.25">
      <c r="A291"/>
      <c r="B291"/>
      <c r="C291"/>
      <c r="D29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  <c r="Q291"/>
      <c r="R291"/>
      <c r="AA291"/>
    </row>
    <row r="292" spans="1:27" x14ac:dyDescent="0.25">
      <c r="A292"/>
      <c r="B292"/>
      <c r="C292"/>
      <c r="D29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/>
      <c r="Q292"/>
      <c r="R292"/>
      <c r="AA292"/>
    </row>
    <row r="293" spans="1:27" x14ac:dyDescent="0.25">
      <c r="A293"/>
      <c r="B293"/>
      <c r="C293"/>
      <c r="D29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/>
      <c r="Q293"/>
      <c r="R293"/>
      <c r="AA293"/>
    </row>
    <row r="294" spans="1:27" x14ac:dyDescent="0.25">
      <c r="A294"/>
      <c r="B294"/>
      <c r="C294"/>
      <c r="D29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/>
      <c r="Q294"/>
      <c r="R294"/>
      <c r="AA294"/>
    </row>
    <row r="295" spans="1:27" x14ac:dyDescent="0.25">
      <c r="A295"/>
      <c r="B295"/>
      <c r="C295"/>
      <c r="D295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/>
      <c r="Q295"/>
      <c r="R295"/>
      <c r="AA295"/>
    </row>
    <row r="296" spans="1:27" x14ac:dyDescent="0.25">
      <c r="A296"/>
      <c r="B296"/>
      <c r="C296"/>
      <c r="D29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/>
      <c r="Q296"/>
      <c r="R296"/>
      <c r="AA296"/>
    </row>
    <row r="297" spans="1:27" x14ac:dyDescent="0.25">
      <c r="A297"/>
      <c r="B297"/>
      <c r="C297"/>
      <c r="D297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/>
      <c r="Q297"/>
      <c r="R297"/>
      <c r="AA297"/>
    </row>
    <row r="298" spans="1:27" x14ac:dyDescent="0.25">
      <c r="A298"/>
      <c r="B298"/>
      <c r="C298"/>
      <c r="D29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  <c r="Q298"/>
      <c r="R298"/>
      <c r="AA298"/>
    </row>
    <row r="299" spans="1:27" x14ac:dyDescent="0.25">
      <c r="A299"/>
      <c r="B299"/>
      <c r="C299"/>
      <c r="D299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/>
      <c r="Q299"/>
      <c r="R299"/>
      <c r="AA299"/>
    </row>
    <row r="300" spans="1:27" x14ac:dyDescent="0.25">
      <c r="A300"/>
      <c r="B300"/>
      <c r="C300"/>
      <c r="D300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/>
      <c r="Q300"/>
      <c r="R300"/>
      <c r="AA300"/>
    </row>
    <row r="301" spans="1:27" x14ac:dyDescent="0.25">
      <c r="A301"/>
      <c r="B301"/>
      <c r="C301"/>
      <c r="D30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/>
      <c r="Q301"/>
      <c r="R301"/>
      <c r="AA301"/>
    </row>
    <row r="302" spans="1:27" x14ac:dyDescent="0.25">
      <c r="A302"/>
      <c r="B302"/>
      <c r="C302"/>
      <c r="D30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/>
      <c r="Q302"/>
      <c r="R302"/>
      <c r="AA302"/>
    </row>
    <row r="303" spans="1:27" x14ac:dyDescent="0.25">
      <c r="A303"/>
      <c r="B303"/>
      <c r="C303"/>
      <c r="D30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/>
      <c r="Q303"/>
      <c r="R303"/>
      <c r="AA303"/>
    </row>
    <row r="304" spans="1:27" x14ac:dyDescent="0.25">
      <c r="A304"/>
      <c r="B304"/>
      <c r="C304"/>
      <c r="D30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/>
      <c r="Q304"/>
      <c r="R304"/>
      <c r="AA304"/>
    </row>
    <row r="305" spans="1:27" x14ac:dyDescent="0.25">
      <c r="A305"/>
      <c r="B305"/>
      <c r="C305"/>
      <c r="D30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  <c r="Q305"/>
      <c r="R305"/>
      <c r="AA305"/>
    </row>
    <row r="306" spans="1:27" x14ac:dyDescent="0.25">
      <c r="A306"/>
      <c r="B306"/>
      <c r="C306"/>
      <c r="D30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/>
      <c r="Q306"/>
      <c r="R306"/>
      <c r="AA306"/>
    </row>
    <row r="307" spans="1:27" x14ac:dyDescent="0.25">
      <c r="A307"/>
      <c r="B307"/>
      <c r="C307"/>
      <c r="D307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/>
      <c r="Q307"/>
      <c r="R307"/>
      <c r="AA307"/>
    </row>
    <row r="308" spans="1:27" x14ac:dyDescent="0.25">
      <c r="A308"/>
      <c r="B308"/>
      <c r="C308"/>
      <c r="D30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/>
      <c r="Q308"/>
      <c r="R308"/>
      <c r="AA308"/>
    </row>
    <row r="309" spans="1:27" x14ac:dyDescent="0.25">
      <c r="A309"/>
      <c r="B309"/>
      <c r="C309"/>
      <c r="D309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/>
      <c r="Q309"/>
      <c r="R309"/>
      <c r="AA309"/>
    </row>
    <row r="310" spans="1:27" x14ac:dyDescent="0.25">
      <c r="A310"/>
      <c r="B310"/>
      <c r="C310"/>
      <c r="D310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/>
      <c r="Q310"/>
      <c r="R310"/>
      <c r="AA310"/>
    </row>
    <row r="311" spans="1:27" x14ac:dyDescent="0.25">
      <c r="A311"/>
      <c r="B311"/>
      <c r="C311"/>
      <c r="D31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/>
      <c r="Q311"/>
      <c r="R311"/>
      <c r="AA311"/>
    </row>
    <row r="312" spans="1:27" x14ac:dyDescent="0.25">
      <c r="A312"/>
      <c r="B312"/>
      <c r="C312"/>
      <c r="D31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/>
      <c r="Q312"/>
      <c r="R312"/>
      <c r="AA312"/>
    </row>
    <row r="313" spans="1:27" x14ac:dyDescent="0.25">
      <c r="A313"/>
      <c r="B313"/>
      <c r="C313"/>
      <c r="D31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/>
      <c r="Q313"/>
      <c r="R313"/>
      <c r="AA313"/>
    </row>
    <row r="314" spans="1:27" x14ac:dyDescent="0.25">
      <c r="A314"/>
      <c r="B314"/>
      <c r="C314"/>
      <c r="D31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/>
      <c r="Q314"/>
      <c r="R314"/>
      <c r="AA314"/>
    </row>
    <row r="315" spans="1:27" x14ac:dyDescent="0.25">
      <c r="A315"/>
      <c r="B315"/>
      <c r="C315"/>
      <c r="D31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/>
      <c r="Q315"/>
      <c r="R315"/>
      <c r="AA315"/>
    </row>
    <row r="316" spans="1:27" x14ac:dyDescent="0.25">
      <c r="A316"/>
      <c r="B316"/>
      <c r="C316"/>
      <c r="D31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/>
      <c r="Q316"/>
      <c r="R316"/>
      <c r="AA316"/>
    </row>
    <row r="317" spans="1:27" x14ac:dyDescent="0.25">
      <c r="A317"/>
      <c r="B317"/>
      <c r="C317"/>
      <c r="D317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/>
      <c r="Q317"/>
      <c r="R317"/>
      <c r="AA317"/>
    </row>
    <row r="318" spans="1:27" x14ac:dyDescent="0.25">
      <c r="A318"/>
      <c r="B318"/>
      <c r="C318"/>
      <c r="D318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/>
      <c r="Q318"/>
      <c r="R318"/>
      <c r="AA318"/>
    </row>
    <row r="319" spans="1:27" x14ac:dyDescent="0.25">
      <c r="A319"/>
      <c r="B319"/>
      <c r="C319"/>
      <c r="D319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/>
      <c r="Q319"/>
      <c r="R319"/>
      <c r="AA319"/>
    </row>
    <row r="320" spans="1:27" x14ac:dyDescent="0.25">
      <c r="A320"/>
      <c r="B320"/>
      <c r="C320"/>
      <c r="D320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/>
      <c r="Q320"/>
      <c r="R320"/>
      <c r="AA320"/>
    </row>
    <row r="321" spans="1:27" x14ac:dyDescent="0.25">
      <c r="A321"/>
      <c r="B321"/>
      <c r="C321"/>
      <c r="D32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/>
      <c r="Q321"/>
      <c r="R321"/>
      <c r="AA321"/>
    </row>
    <row r="322" spans="1:27" x14ac:dyDescent="0.25">
      <c r="A322"/>
      <c r="B322"/>
      <c r="C322"/>
      <c r="D32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/>
      <c r="Q322"/>
      <c r="R322"/>
      <c r="AA322"/>
    </row>
    <row r="323" spans="1:27" x14ac:dyDescent="0.25">
      <c r="A323"/>
      <c r="B323"/>
      <c r="C323"/>
      <c r="D32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/>
      <c r="Q323"/>
      <c r="R323"/>
      <c r="AA323"/>
    </row>
    <row r="324" spans="1:27" x14ac:dyDescent="0.25">
      <c r="A324"/>
      <c r="B324"/>
      <c r="C324"/>
      <c r="D32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/>
      <c r="Q324"/>
      <c r="R324"/>
      <c r="AA324"/>
    </row>
    <row r="325" spans="1:27" x14ac:dyDescent="0.25">
      <c r="A325"/>
      <c r="B325"/>
      <c r="C325"/>
      <c r="D32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/>
      <c r="Q325"/>
      <c r="R325"/>
      <c r="AA325"/>
    </row>
    <row r="326" spans="1:27" x14ac:dyDescent="0.25">
      <c r="A326"/>
      <c r="B326"/>
      <c r="C326"/>
      <c r="D32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/>
      <c r="Q326"/>
      <c r="R326"/>
      <c r="AA326"/>
    </row>
    <row r="327" spans="1:27" x14ac:dyDescent="0.25">
      <c r="A327"/>
      <c r="B327"/>
      <c r="C327"/>
      <c r="D327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/>
      <c r="Q327"/>
      <c r="R327"/>
      <c r="AA327"/>
    </row>
    <row r="328" spans="1:27" x14ac:dyDescent="0.25">
      <c r="A328"/>
      <c r="B328"/>
      <c r="C328"/>
      <c r="D328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/>
      <c r="Q328"/>
      <c r="R328"/>
      <c r="AA328"/>
    </row>
    <row r="329" spans="1:27" x14ac:dyDescent="0.25">
      <c r="A329"/>
      <c r="B329"/>
      <c r="C329"/>
      <c r="D329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/>
      <c r="Q329"/>
      <c r="R329"/>
      <c r="AA329"/>
    </row>
    <row r="330" spans="1:27" x14ac:dyDescent="0.25">
      <c r="A330"/>
      <c r="B330"/>
      <c r="C330"/>
      <c r="D330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/>
      <c r="Q330"/>
      <c r="R330"/>
      <c r="AA330"/>
    </row>
    <row r="331" spans="1:27" x14ac:dyDescent="0.25">
      <c r="A331"/>
      <c r="B331"/>
      <c r="C331"/>
      <c r="D33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/>
      <c r="Q331"/>
      <c r="R331"/>
      <c r="AA331"/>
    </row>
    <row r="332" spans="1:27" x14ac:dyDescent="0.25">
      <c r="A332"/>
      <c r="B332"/>
      <c r="C332"/>
      <c r="D33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/>
      <c r="Q332"/>
      <c r="R332"/>
      <c r="AA332"/>
    </row>
    <row r="333" spans="1:27" x14ac:dyDescent="0.25">
      <c r="A333"/>
      <c r="B333"/>
      <c r="C333"/>
      <c r="D33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/>
      <c r="Q333"/>
      <c r="R333"/>
      <c r="AA333"/>
    </row>
    <row r="334" spans="1:27" x14ac:dyDescent="0.25">
      <c r="A334"/>
      <c r="B334"/>
      <c r="C334"/>
      <c r="D33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/>
      <c r="Q334"/>
      <c r="R334"/>
      <c r="AA334"/>
    </row>
    <row r="335" spans="1:27" x14ac:dyDescent="0.25">
      <c r="A335"/>
      <c r="B335"/>
      <c r="C335"/>
      <c r="D33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/>
      <c r="Q335"/>
      <c r="R335"/>
      <c r="AA335"/>
    </row>
    <row r="336" spans="1:27" x14ac:dyDescent="0.25">
      <c r="A336"/>
      <c r="B336"/>
      <c r="C336"/>
      <c r="D33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/>
      <c r="Q336"/>
      <c r="R336"/>
      <c r="AA336"/>
    </row>
    <row r="337" spans="1:27" x14ac:dyDescent="0.25">
      <c r="A337"/>
      <c r="B337"/>
      <c r="C337"/>
      <c r="D337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/>
      <c r="Q337"/>
      <c r="R337"/>
      <c r="AA337"/>
    </row>
    <row r="338" spans="1:27" x14ac:dyDescent="0.25">
      <c r="A338"/>
      <c r="B338"/>
      <c r="C338"/>
      <c r="D338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/>
      <c r="Q338"/>
      <c r="R338"/>
      <c r="AA338"/>
    </row>
    <row r="339" spans="1:27" x14ac:dyDescent="0.25">
      <c r="A339"/>
      <c r="B339"/>
      <c r="C339"/>
      <c r="D339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/>
      <c r="Q339"/>
      <c r="R339"/>
      <c r="AA339"/>
    </row>
    <row r="340" spans="1:27" x14ac:dyDescent="0.25">
      <c r="A340"/>
      <c r="B340"/>
      <c r="C340"/>
      <c r="D340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  <c r="Q340"/>
      <c r="R340"/>
      <c r="AA340"/>
    </row>
    <row r="341" spans="1:27" x14ac:dyDescent="0.25">
      <c r="A341"/>
      <c r="B341"/>
      <c r="C341"/>
      <c r="D34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/>
      <c r="Q341"/>
      <c r="R341"/>
      <c r="AA341"/>
    </row>
    <row r="342" spans="1:27" x14ac:dyDescent="0.25">
      <c r="A342"/>
      <c r="B342"/>
      <c r="C342"/>
      <c r="D34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/>
      <c r="Q342"/>
      <c r="R342"/>
      <c r="AA342"/>
    </row>
    <row r="343" spans="1:27" x14ac:dyDescent="0.25">
      <c r="A343"/>
      <c r="B343"/>
      <c r="C343"/>
      <c r="D34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/>
      <c r="Q343"/>
      <c r="R343"/>
      <c r="AA343"/>
    </row>
    <row r="344" spans="1:27" x14ac:dyDescent="0.25">
      <c r="A344"/>
      <c r="B344"/>
      <c r="C344"/>
      <c r="D34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/>
      <c r="Q344"/>
      <c r="R344"/>
      <c r="AA344"/>
    </row>
    <row r="345" spans="1:27" x14ac:dyDescent="0.25">
      <c r="A345"/>
      <c r="B345"/>
      <c r="C345"/>
      <c r="D34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/>
      <c r="Q345"/>
      <c r="R345"/>
      <c r="AA345"/>
    </row>
    <row r="346" spans="1:27" x14ac:dyDescent="0.25">
      <c r="A346"/>
      <c r="B346"/>
      <c r="C346"/>
      <c r="D34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/>
      <c r="Q346"/>
      <c r="R346"/>
      <c r="AA346"/>
    </row>
    <row r="347" spans="1:27" x14ac:dyDescent="0.25">
      <c r="A347"/>
      <c r="B347"/>
      <c r="C347"/>
      <c r="D347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  <c r="Q347"/>
      <c r="R347"/>
      <c r="AA347"/>
    </row>
    <row r="348" spans="1:27" x14ac:dyDescent="0.25">
      <c r="A348"/>
      <c r="B348"/>
      <c r="C348"/>
      <c r="D348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/>
      <c r="Q348"/>
      <c r="R348"/>
      <c r="AA348"/>
    </row>
    <row r="349" spans="1:27" x14ac:dyDescent="0.25">
      <c r="A349"/>
      <c r="B349"/>
      <c r="C349"/>
      <c r="D349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/>
      <c r="Q349"/>
      <c r="R349"/>
      <c r="AA349"/>
    </row>
    <row r="350" spans="1:27" x14ac:dyDescent="0.25">
      <c r="A350"/>
      <c r="B350"/>
      <c r="C350"/>
      <c r="D350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/>
      <c r="Q350"/>
      <c r="R350"/>
      <c r="AA350"/>
    </row>
    <row r="351" spans="1:27" x14ac:dyDescent="0.25">
      <c r="A351"/>
      <c r="B351"/>
      <c r="C351"/>
      <c r="D35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/>
      <c r="Q351"/>
      <c r="R351"/>
      <c r="AA351"/>
    </row>
    <row r="352" spans="1:27" x14ac:dyDescent="0.25">
      <c r="A352"/>
      <c r="B352"/>
      <c r="C352"/>
      <c r="D35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/>
      <c r="Q352"/>
      <c r="R352"/>
      <c r="AA352"/>
    </row>
    <row r="353" spans="1:27" x14ac:dyDescent="0.25">
      <c r="A353"/>
      <c r="B353"/>
      <c r="C353"/>
      <c r="D35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/>
      <c r="Q353"/>
      <c r="R353"/>
      <c r="AA353"/>
    </row>
    <row r="354" spans="1:27" x14ac:dyDescent="0.25">
      <c r="A354"/>
      <c r="B354"/>
      <c r="C354"/>
      <c r="D35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  <c r="Q354"/>
      <c r="R354"/>
      <c r="AA354"/>
    </row>
    <row r="355" spans="1:27" x14ac:dyDescent="0.25">
      <c r="A355"/>
      <c r="B355"/>
      <c r="C355"/>
      <c r="D35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/>
      <c r="Q355"/>
      <c r="R355"/>
      <c r="AA355"/>
    </row>
    <row r="356" spans="1:27" x14ac:dyDescent="0.25">
      <c r="A356"/>
      <c r="B356"/>
      <c r="C356"/>
      <c r="D35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/>
      <c r="Q356"/>
      <c r="R356"/>
      <c r="AA356"/>
    </row>
    <row r="357" spans="1:27" x14ac:dyDescent="0.25">
      <c r="A357"/>
      <c r="B357"/>
      <c r="C357"/>
      <c r="D357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/>
      <c r="Q357"/>
      <c r="R357"/>
      <c r="AA357"/>
    </row>
    <row r="358" spans="1:27" x14ac:dyDescent="0.25">
      <c r="A358"/>
      <c r="B358"/>
      <c r="C358"/>
      <c r="D358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/>
      <c r="Q358"/>
      <c r="R358"/>
      <c r="AA358"/>
    </row>
    <row r="359" spans="1:27" x14ac:dyDescent="0.25">
      <c r="A359"/>
      <c r="B359"/>
      <c r="C359"/>
      <c r="D359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/>
      <c r="Q359"/>
      <c r="R359"/>
      <c r="AA359"/>
    </row>
    <row r="360" spans="1:27" x14ac:dyDescent="0.25">
      <c r="A360"/>
      <c r="B360"/>
      <c r="C360"/>
      <c r="D360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/>
      <c r="Q360"/>
      <c r="R360"/>
      <c r="AA360"/>
    </row>
    <row r="361" spans="1:27" x14ac:dyDescent="0.25">
      <c r="A361"/>
      <c r="B361"/>
      <c r="C361"/>
      <c r="D36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/>
      <c r="Q361"/>
      <c r="R361"/>
      <c r="AA361"/>
    </row>
    <row r="362" spans="1:27" x14ac:dyDescent="0.25">
      <c r="A362"/>
      <c r="B362"/>
      <c r="C362"/>
      <c r="D36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/>
      <c r="Q362"/>
      <c r="R362"/>
      <c r="AA362"/>
    </row>
    <row r="363" spans="1:27" x14ac:dyDescent="0.25">
      <c r="A363"/>
      <c r="B363"/>
      <c r="C363"/>
      <c r="D36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/>
      <c r="Q363"/>
      <c r="R363"/>
      <c r="AA363"/>
    </row>
    <row r="364" spans="1:27" x14ac:dyDescent="0.25">
      <c r="A364"/>
      <c r="B364"/>
      <c r="C364"/>
      <c r="D36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/>
      <c r="Q364"/>
      <c r="R364"/>
      <c r="AA364"/>
    </row>
    <row r="365" spans="1:27" x14ac:dyDescent="0.25">
      <c r="A365"/>
      <c r="B365"/>
      <c r="C365"/>
      <c r="D36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/>
      <c r="Q365"/>
      <c r="R365"/>
      <c r="AA365"/>
    </row>
    <row r="366" spans="1:27" x14ac:dyDescent="0.25">
      <c r="A366"/>
      <c r="B366"/>
      <c r="C366"/>
      <c r="D36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/>
      <c r="Q366"/>
      <c r="R366"/>
      <c r="AA366"/>
    </row>
    <row r="367" spans="1:27" x14ac:dyDescent="0.25">
      <c r="A367"/>
      <c r="B367"/>
      <c r="C367"/>
      <c r="D367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/>
      <c r="Q367"/>
      <c r="R367"/>
      <c r="AA367"/>
    </row>
    <row r="368" spans="1:27" x14ac:dyDescent="0.25">
      <c r="A368"/>
      <c r="B368"/>
      <c r="C368"/>
      <c r="D368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/>
      <c r="Q368"/>
      <c r="R368"/>
      <c r="AA368"/>
    </row>
    <row r="369" spans="1:27" x14ac:dyDescent="0.25">
      <c r="A369"/>
      <c r="B369"/>
      <c r="C369"/>
      <c r="D369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/>
      <c r="Q369"/>
      <c r="R369"/>
      <c r="AA369"/>
    </row>
    <row r="370" spans="1:27" x14ac:dyDescent="0.25">
      <c r="A370"/>
      <c r="B370"/>
      <c r="C370"/>
      <c r="D370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/>
      <c r="Q370"/>
      <c r="R370"/>
      <c r="AA370"/>
    </row>
    <row r="371" spans="1:27" x14ac:dyDescent="0.25">
      <c r="A371"/>
      <c r="B371"/>
      <c r="C371"/>
      <c r="D37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/>
      <c r="Q371"/>
      <c r="R371"/>
      <c r="AA371"/>
    </row>
    <row r="372" spans="1:27" x14ac:dyDescent="0.25">
      <c r="A372"/>
      <c r="B372"/>
      <c r="C372"/>
      <c r="D37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/>
      <c r="Q372"/>
      <c r="R372"/>
      <c r="AA372"/>
    </row>
    <row r="373" spans="1:27" x14ac:dyDescent="0.25">
      <c r="A373"/>
      <c r="B373"/>
      <c r="C373"/>
      <c r="D37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/>
      <c r="Q373"/>
      <c r="R373"/>
      <c r="AA373"/>
    </row>
    <row r="374" spans="1:27" x14ac:dyDescent="0.25">
      <c r="A374"/>
      <c r="B374"/>
      <c r="C374"/>
      <c r="D37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/>
      <c r="Q374"/>
      <c r="R374"/>
      <c r="AA374"/>
    </row>
    <row r="375" spans="1:27" x14ac:dyDescent="0.25">
      <c r="A375"/>
      <c r="B375"/>
      <c r="C375"/>
      <c r="D37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/>
      <c r="Q375"/>
      <c r="R375"/>
      <c r="AA375"/>
    </row>
    <row r="376" spans="1:27" x14ac:dyDescent="0.25">
      <c r="A376"/>
      <c r="B376"/>
      <c r="C376"/>
      <c r="D37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/>
      <c r="Q376"/>
      <c r="R376"/>
      <c r="AA376"/>
    </row>
    <row r="377" spans="1:27" x14ac:dyDescent="0.25">
      <c r="A377"/>
      <c r="B377"/>
      <c r="C377"/>
      <c r="D377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/>
      <c r="Q377"/>
      <c r="R377"/>
      <c r="AA377"/>
    </row>
    <row r="378" spans="1:27" x14ac:dyDescent="0.25">
      <c r="A378"/>
      <c r="B378"/>
      <c r="C378"/>
      <c r="D378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/>
      <c r="Q378"/>
      <c r="R378"/>
      <c r="AA378"/>
    </row>
    <row r="379" spans="1:27" x14ac:dyDescent="0.25">
      <c r="A379"/>
      <c r="B379"/>
      <c r="C379"/>
      <c r="D379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/>
      <c r="Q379"/>
      <c r="R379"/>
      <c r="AA379"/>
    </row>
    <row r="380" spans="1:27" x14ac:dyDescent="0.25">
      <c r="A380"/>
      <c r="B380"/>
      <c r="C380"/>
      <c r="D380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/>
      <c r="Q380"/>
      <c r="R380"/>
      <c r="AA380"/>
    </row>
    <row r="381" spans="1:27" x14ac:dyDescent="0.25">
      <c r="A381"/>
      <c r="B381"/>
      <c r="C381"/>
      <c r="D38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/>
      <c r="Q381"/>
      <c r="R381"/>
      <c r="AA381"/>
    </row>
    <row r="382" spans="1:27" x14ac:dyDescent="0.25">
      <c r="A382"/>
      <c r="B382"/>
      <c r="C382"/>
      <c r="D38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/>
      <c r="Q382"/>
      <c r="R382"/>
      <c r="AA382"/>
    </row>
    <row r="383" spans="1:27" x14ac:dyDescent="0.25">
      <c r="A383"/>
      <c r="B383"/>
      <c r="C383"/>
      <c r="D38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/>
      <c r="Q383"/>
      <c r="R383"/>
      <c r="AA383"/>
    </row>
    <row r="384" spans="1:27" x14ac:dyDescent="0.25">
      <c r="A384"/>
      <c r="B384"/>
      <c r="C384"/>
      <c r="D38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/>
      <c r="Q384"/>
      <c r="R384"/>
      <c r="AA384"/>
    </row>
    <row r="385" spans="1:27" x14ac:dyDescent="0.25">
      <c r="A385"/>
      <c r="B385"/>
      <c r="C385"/>
      <c r="D38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/>
      <c r="Q385"/>
      <c r="R385"/>
      <c r="AA385"/>
    </row>
    <row r="386" spans="1:27" x14ac:dyDescent="0.25">
      <c r="A386"/>
      <c r="B386"/>
      <c r="C386"/>
      <c r="D38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  <c r="Q386"/>
      <c r="R386"/>
      <c r="AA386"/>
    </row>
    <row r="387" spans="1:27" x14ac:dyDescent="0.25">
      <c r="A387"/>
      <c r="B387"/>
      <c r="C387"/>
      <c r="D387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/>
      <c r="Q387"/>
      <c r="R387"/>
      <c r="AA387"/>
    </row>
    <row r="388" spans="1:27" x14ac:dyDescent="0.25">
      <c r="A388"/>
      <c r="B388"/>
      <c r="C388"/>
      <c r="D388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/>
      <c r="Q388"/>
      <c r="R388"/>
      <c r="AA388"/>
    </row>
    <row r="389" spans="1:27" x14ac:dyDescent="0.25">
      <c r="A389"/>
      <c r="B389"/>
      <c r="C389"/>
      <c r="D389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/>
      <c r="Q389"/>
      <c r="R389"/>
      <c r="AA389"/>
    </row>
    <row r="390" spans="1:27" x14ac:dyDescent="0.25">
      <c r="A390"/>
      <c r="B390"/>
      <c r="C390"/>
      <c r="D390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/>
      <c r="Q390"/>
      <c r="R390"/>
      <c r="AA390"/>
    </row>
    <row r="391" spans="1:27" x14ac:dyDescent="0.25">
      <c r="A391"/>
      <c r="B391"/>
      <c r="C391"/>
      <c r="D39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/>
      <c r="Q391"/>
      <c r="R391"/>
      <c r="AA391"/>
    </row>
    <row r="392" spans="1:27" x14ac:dyDescent="0.25">
      <c r="A392"/>
      <c r="B392"/>
      <c r="C392"/>
      <c r="D39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/>
      <c r="Q392"/>
      <c r="R392"/>
      <c r="AA392"/>
    </row>
    <row r="393" spans="1:27" x14ac:dyDescent="0.25">
      <c r="A393"/>
      <c r="B393"/>
      <c r="C393"/>
      <c r="D39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  <c r="Q393"/>
      <c r="R393"/>
      <c r="AA393"/>
    </row>
    <row r="394" spans="1:27" x14ac:dyDescent="0.25">
      <c r="A394"/>
      <c r="B394"/>
      <c r="C394"/>
      <c r="D39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/>
      <c r="Q394"/>
      <c r="R394"/>
      <c r="AA394"/>
    </row>
    <row r="395" spans="1:27" x14ac:dyDescent="0.25">
      <c r="A395"/>
      <c r="B395"/>
      <c r="C395"/>
      <c r="D39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/>
      <c r="Q395"/>
      <c r="R395"/>
      <c r="AA395"/>
    </row>
    <row r="396" spans="1:27" x14ac:dyDescent="0.25">
      <c r="A396"/>
      <c r="B396"/>
      <c r="C396"/>
      <c r="D39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/>
      <c r="Q396"/>
      <c r="R396"/>
      <c r="AA396"/>
    </row>
    <row r="397" spans="1:27" x14ac:dyDescent="0.25">
      <c r="A397"/>
      <c r="B397"/>
      <c r="C397"/>
      <c r="D397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/>
      <c r="Q397"/>
      <c r="R397"/>
      <c r="AA397"/>
    </row>
    <row r="398" spans="1:27" x14ac:dyDescent="0.25">
      <c r="A398"/>
      <c r="B398"/>
      <c r="C398"/>
      <c r="D398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/>
      <c r="Q398"/>
      <c r="R398"/>
      <c r="AA398"/>
    </row>
    <row r="399" spans="1:27" x14ac:dyDescent="0.25">
      <c r="A399"/>
      <c r="B399"/>
      <c r="C399"/>
      <c r="D399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/>
      <c r="Q399"/>
      <c r="R399"/>
      <c r="AA399"/>
    </row>
    <row r="400" spans="1:27" x14ac:dyDescent="0.25">
      <c r="A400"/>
      <c r="B400"/>
      <c r="C400"/>
      <c r="D400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  <c r="Q400"/>
      <c r="R400"/>
      <c r="AA400"/>
    </row>
    <row r="401" spans="1:27" x14ac:dyDescent="0.25">
      <c r="A401"/>
      <c r="B401"/>
      <c r="C401"/>
      <c r="D40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/>
      <c r="Q401"/>
      <c r="R401"/>
      <c r="AA401"/>
    </row>
    <row r="402" spans="1:27" x14ac:dyDescent="0.25">
      <c r="A402"/>
      <c r="B402"/>
      <c r="C402"/>
      <c r="D40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/>
      <c r="Q402"/>
      <c r="R402"/>
      <c r="AA402"/>
    </row>
    <row r="403" spans="1:27" x14ac:dyDescent="0.25">
      <c r="A403"/>
      <c r="B403"/>
      <c r="C403"/>
      <c r="D40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/>
      <c r="Q403"/>
      <c r="R403"/>
      <c r="AA403"/>
    </row>
    <row r="404" spans="1:27" x14ac:dyDescent="0.25">
      <c r="A404"/>
      <c r="B404"/>
      <c r="C404"/>
      <c r="D40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/>
      <c r="Q404"/>
      <c r="R404"/>
      <c r="AA404"/>
    </row>
    <row r="405" spans="1:27" x14ac:dyDescent="0.25">
      <c r="A405"/>
      <c r="B405"/>
      <c r="C405"/>
      <c r="D40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/>
      <c r="Q405"/>
      <c r="R405"/>
      <c r="AA405"/>
    </row>
    <row r="406" spans="1:27" x14ac:dyDescent="0.25">
      <c r="A406"/>
      <c r="B406"/>
      <c r="C406"/>
      <c r="D40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/>
      <c r="Q406"/>
      <c r="R406"/>
      <c r="AA406"/>
    </row>
    <row r="407" spans="1:27" x14ac:dyDescent="0.25">
      <c r="A407"/>
      <c r="B407"/>
      <c r="C407"/>
      <c r="D407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/>
      <c r="Q407"/>
      <c r="R407"/>
      <c r="AA407"/>
    </row>
    <row r="408" spans="1:27" x14ac:dyDescent="0.25">
      <c r="A408"/>
      <c r="B408"/>
      <c r="C408"/>
      <c r="D408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/>
      <c r="Q408"/>
      <c r="R408"/>
      <c r="AA408"/>
    </row>
    <row r="409" spans="1:27" x14ac:dyDescent="0.25">
      <c r="A409"/>
      <c r="B409"/>
      <c r="C409"/>
      <c r="D409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/>
      <c r="Q409"/>
      <c r="R409"/>
      <c r="AA409"/>
    </row>
    <row r="410" spans="1:27" x14ac:dyDescent="0.25">
      <c r="A410"/>
      <c r="B410"/>
      <c r="C410"/>
      <c r="D410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/>
      <c r="Q410"/>
      <c r="R410"/>
      <c r="AA410"/>
    </row>
    <row r="411" spans="1:27" x14ac:dyDescent="0.25">
      <c r="A411"/>
      <c r="B411"/>
      <c r="C411"/>
      <c r="D41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/>
      <c r="Q411"/>
      <c r="R411"/>
      <c r="AA411"/>
    </row>
    <row r="412" spans="1:27" x14ac:dyDescent="0.25">
      <c r="A412"/>
      <c r="B412"/>
      <c r="C412"/>
      <c r="D41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/>
      <c r="Q412"/>
      <c r="R412"/>
      <c r="AA412"/>
    </row>
    <row r="413" spans="1:27" x14ac:dyDescent="0.25">
      <c r="A413"/>
      <c r="B413"/>
      <c r="C413"/>
      <c r="D41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/>
      <c r="Q413"/>
      <c r="R413"/>
      <c r="AA413"/>
    </row>
    <row r="414" spans="1:27" x14ac:dyDescent="0.25">
      <c r="A414"/>
      <c r="B414"/>
      <c r="C414"/>
      <c r="D41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/>
      <c r="Q414"/>
      <c r="R414"/>
      <c r="AA414"/>
    </row>
    <row r="415" spans="1:27" x14ac:dyDescent="0.25">
      <c r="A415"/>
      <c r="B415"/>
      <c r="C415"/>
      <c r="D41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/>
      <c r="Q415"/>
      <c r="R415"/>
      <c r="AA415"/>
    </row>
    <row r="416" spans="1:27" x14ac:dyDescent="0.25">
      <c r="A416"/>
      <c r="B416"/>
      <c r="C416"/>
      <c r="D41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/>
      <c r="Q416"/>
      <c r="R416"/>
      <c r="AA416"/>
    </row>
    <row r="417" spans="1:27" x14ac:dyDescent="0.25">
      <c r="A417"/>
      <c r="B417"/>
      <c r="C417"/>
      <c r="D417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/>
      <c r="Q417"/>
      <c r="R417"/>
      <c r="AA417"/>
    </row>
    <row r="418" spans="1:27" x14ac:dyDescent="0.25">
      <c r="A418"/>
      <c r="B418"/>
      <c r="C418"/>
      <c r="D418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/>
      <c r="Q418"/>
      <c r="R418"/>
      <c r="AA418"/>
    </row>
    <row r="419" spans="1:27" x14ac:dyDescent="0.25">
      <c r="A419"/>
      <c r="B419"/>
      <c r="C419"/>
      <c r="D419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/>
      <c r="Q419"/>
      <c r="R419"/>
      <c r="AA419"/>
    </row>
    <row r="420" spans="1:27" x14ac:dyDescent="0.25">
      <c r="A420"/>
      <c r="B420"/>
      <c r="C420"/>
      <c r="D420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/>
      <c r="Q420"/>
      <c r="R420"/>
      <c r="AA420"/>
    </row>
    <row r="421" spans="1:27" x14ac:dyDescent="0.25">
      <c r="A421"/>
      <c r="B421"/>
      <c r="C421"/>
      <c r="D42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/>
      <c r="Q421"/>
      <c r="R421"/>
      <c r="AA421"/>
    </row>
    <row r="422" spans="1:27" x14ac:dyDescent="0.25">
      <c r="A422"/>
      <c r="B422"/>
      <c r="C422"/>
      <c r="D42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/>
      <c r="Q422"/>
      <c r="R422"/>
      <c r="AA422"/>
    </row>
    <row r="423" spans="1:27" x14ac:dyDescent="0.25">
      <c r="A423"/>
      <c r="B423"/>
      <c r="C423"/>
      <c r="D42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/>
      <c r="Q423"/>
      <c r="R423"/>
      <c r="AA423"/>
    </row>
    <row r="424" spans="1:27" x14ac:dyDescent="0.25">
      <c r="A424"/>
      <c r="B424"/>
      <c r="C424"/>
      <c r="D42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/>
      <c r="Q424"/>
      <c r="R424"/>
      <c r="AA424"/>
    </row>
    <row r="425" spans="1:27" x14ac:dyDescent="0.25">
      <c r="A425"/>
      <c r="B425"/>
      <c r="C425"/>
      <c r="D42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/>
      <c r="Q425"/>
      <c r="R425"/>
      <c r="AA425"/>
    </row>
    <row r="426" spans="1:27" x14ac:dyDescent="0.25">
      <c r="A426"/>
      <c r="B426"/>
      <c r="C426"/>
      <c r="D42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/>
      <c r="Q426"/>
      <c r="R426"/>
      <c r="AA426"/>
    </row>
    <row r="427" spans="1:27" x14ac:dyDescent="0.25">
      <c r="A427"/>
      <c r="B427"/>
      <c r="C427"/>
      <c r="D427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/>
      <c r="Q427"/>
      <c r="R427"/>
      <c r="AA427"/>
    </row>
    <row r="428" spans="1:27" x14ac:dyDescent="0.25">
      <c r="A428"/>
      <c r="B428"/>
      <c r="C428"/>
      <c r="D428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/>
      <c r="Q428"/>
      <c r="R428"/>
      <c r="AA428"/>
    </row>
    <row r="429" spans="1:27" x14ac:dyDescent="0.25">
      <c r="A429"/>
      <c r="B429"/>
      <c r="C429"/>
      <c r="D429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/>
      <c r="Q429"/>
      <c r="R429"/>
      <c r="AA429"/>
    </row>
    <row r="430" spans="1:27" x14ac:dyDescent="0.25">
      <c r="A430"/>
      <c r="B430"/>
      <c r="C430"/>
      <c r="D430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/>
      <c r="Q430"/>
      <c r="R430"/>
      <c r="AA430"/>
    </row>
    <row r="431" spans="1:27" x14ac:dyDescent="0.25">
      <c r="A431"/>
      <c r="B431"/>
      <c r="C431"/>
      <c r="D43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/>
      <c r="Q431"/>
      <c r="R431"/>
      <c r="AA431"/>
    </row>
    <row r="432" spans="1:27" x14ac:dyDescent="0.25">
      <c r="A432"/>
      <c r="B432"/>
      <c r="C432"/>
      <c r="D43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  <c r="Q432"/>
      <c r="R432"/>
      <c r="AA432"/>
    </row>
    <row r="433" spans="1:27" x14ac:dyDescent="0.25">
      <c r="A433"/>
      <c r="B433"/>
      <c r="C433"/>
      <c r="D43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/>
      <c r="Q433"/>
      <c r="R433"/>
      <c r="AA433"/>
    </row>
    <row r="434" spans="1:27" x14ac:dyDescent="0.25">
      <c r="A434"/>
      <c r="B434"/>
      <c r="C434"/>
      <c r="D43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/>
      <c r="Q434"/>
      <c r="R434"/>
      <c r="AA434"/>
    </row>
    <row r="435" spans="1:27" x14ac:dyDescent="0.25">
      <c r="A435"/>
      <c r="B435"/>
      <c r="C435"/>
      <c r="D43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/>
      <c r="Q435"/>
      <c r="R435"/>
      <c r="AA435"/>
    </row>
    <row r="436" spans="1:27" x14ac:dyDescent="0.25">
      <c r="A436"/>
      <c r="B436"/>
      <c r="C436"/>
      <c r="D43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/>
      <c r="Q436"/>
      <c r="R436"/>
      <c r="AA436"/>
    </row>
    <row r="437" spans="1:27" x14ac:dyDescent="0.25">
      <c r="A437"/>
      <c r="B437"/>
      <c r="C437"/>
      <c r="D437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/>
      <c r="Q437"/>
      <c r="R437"/>
      <c r="AA437"/>
    </row>
    <row r="438" spans="1:27" x14ac:dyDescent="0.25">
      <c r="A438"/>
      <c r="B438"/>
      <c r="C438"/>
      <c r="D438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/>
      <c r="Q438"/>
      <c r="R438"/>
      <c r="AA438"/>
    </row>
    <row r="439" spans="1:27" x14ac:dyDescent="0.25">
      <c r="A439"/>
      <c r="B439"/>
      <c r="C439"/>
      <c r="D439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  <c r="Q439"/>
      <c r="R439"/>
      <c r="AA439"/>
    </row>
    <row r="440" spans="1:27" x14ac:dyDescent="0.25">
      <c r="A440"/>
      <c r="B440"/>
      <c r="C440"/>
      <c r="D440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/>
      <c r="Q440"/>
      <c r="R440"/>
      <c r="AA440"/>
    </row>
    <row r="441" spans="1:27" x14ac:dyDescent="0.25">
      <c r="A441"/>
      <c r="B441"/>
      <c r="C441"/>
      <c r="D44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/>
      <c r="Q441"/>
      <c r="R441"/>
      <c r="AA441"/>
    </row>
    <row r="442" spans="1:27" x14ac:dyDescent="0.25">
      <c r="A442"/>
      <c r="B442"/>
      <c r="C442"/>
      <c r="D44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/>
      <c r="Q442"/>
      <c r="R442"/>
      <c r="AA442"/>
    </row>
    <row r="443" spans="1:27" x14ac:dyDescent="0.25">
      <c r="A443"/>
      <c r="B443"/>
      <c r="C443"/>
      <c r="D44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/>
      <c r="Q443"/>
      <c r="R443"/>
      <c r="AA443"/>
    </row>
    <row r="444" spans="1:27" x14ac:dyDescent="0.25">
      <c r="A444"/>
      <c r="B444"/>
      <c r="C444"/>
      <c r="D44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/>
      <c r="Q444"/>
      <c r="R444"/>
      <c r="AA444"/>
    </row>
    <row r="445" spans="1:27" x14ac:dyDescent="0.25">
      <c r="A445"/>
      <c r="B445"/>
      <c r="C445"/>
      <c r="D44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/>
      <c r="Q445"/>
      <c r="R445"/>
      <c r="AA445"/>
    </row>
    <row r="446" spans="1:27" x14ac:dyDescent="0.25">
      <c r="A446"/>
      <c r="B446"/>
      <c r="C446"/>
      <c r="D44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  <c r="Q446"/>
      <c r="R446"/>
      <c r="AA446"/>
    </row>
    <row r="447" spans="1:27" x14ac:dyDescent="0.25">
      <c r="A447"/>
      <c r="B447"/>
      <c r="C447"/>
      <c r="D447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/>
      <c r="Q447"/>
      <c r="R447"/>
      <c r="AA447"/>
    </row>
    <row r="448" spans="1:27" x14ac:dyDescent="0.25">
      <c r="A448"/>
      <c r="B448"/>
      <c r="C448"/>
      <c r="D448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/>
      <c r="Q448"/>
      <c r="R448"/>
      <c r="AA448"/>
    </row>
    <row r="449" spans="1:27" x14ac:dyDescent="0.25">
      <c r="A449"/>
      <c r="B449"/>
      <c r="C449"/>
      <c r="D449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/>
      <c r="Q449"/>
      <c r="R449"/>
      <c r="AA449"/>
    </row>
    <row r="450" spans="1:27" x14ac:dyDescent="0.25">
      <c r="A450"/>
      <c r="B450"/>
      <c r="C450"/>
      <c r="D450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/>
      <c r="Q450"/>
      <c r="R450"/>
      <c r="AA450"/>
    </row>
    <row r="451" spans="1:27" x14ac:dyDescent="0.25">
      <c r="A451"/>
      <c r="B451"/>
      <c r="C451"/>
      <c r="D45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/>
      <c r="Q451"/>
      <c r="R451"/>
      <c r="AA451"/>
    </row>
    <row r="452" spans="1:27" x14ac:dyDescent="0.25">
      <c r="A452"/>
      <c r="B452"/>
      <c r="C452"/>
      <c r="D45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/>
      <c r="Q452"/>
      <c r="R452"/>
      <c r="AA452"/>
    </row>
    <row r="453" spans="1:27" x14ac:dyDescent="0.25">
      <c r="A453"/>
      <c r="B453"/>
      <c r="C453"/>
      <c r="D45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/>
      <c r="Q453"/>
      <c r="R453"/>
      <c r="AA453"/>
    </row>
    <row r="454" spans="1:27" x14ac:dyDescent="0.25">
      <c r="A454"/>
      <c r="B454"/>
      <c r="C454"/>
      <c r="D45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/>
      <c r="Q454"/>
      <c r="R454"/>
      <c r="AA454"/>
    </row>
    <row r="455" spans="1:27" x14ac:dyDescent="0.25">
      <c r="A455"/>
      <c r="B455"/>
      <c r="C455"/>
      <c r="D45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/>
      <c r="Q455"/>
      <c r="R455"/>
      <c r="AA455"/>
    </row>
    <row r="456" spans="1:27" x14ac:dyDescent="0.25">
      <c r="A456"/>
      <c r="B456"/>
      <c r="C456"/>
      <c r="D45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/>
      <c r="Q456"/>
      <c r="R456"/>
      <c r="AA456"/>
    </row>
    <row r="457" spans="1:27" x14ac:dyDescent="0.25">
      <c r="A457"/>
      <c r="B457"/>
      <c r="C457"/>
      <c r="D457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/>
      <c r="Q457"/>
      <c r="R457"/>
      <c r="AA457"/>
    </row>
    <row r="458" spans="1:27" x14ac:dyDescent="0.25">
      <c r="A458"/>
      <c r="B458"/>
      <c r="C458"/>
      <c r="D458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/>
      <c r="Q458"/>
      <c r="R458"/>
      <c r="AA458"/>
    </row>
    <row r="459" spans="1:27" x14ac:dyDescent="0.25">
      <c r="A459"/>
      <c r="B459"/>
      <c r="C459"/>
      <c r="D459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/>
      <c r="Q459"/>
      <c r="R459"/>
      <c r="AA459"/>
    </row>
    <row r="460" spans="1:27" x14ac:dyDescent="0.25">
      <c r="A460"/>
      <c r="B460"/>
      <c r="C460"/>
      <c r="D460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/>
      <c r="Q460"/>
      <c r="R460"/>
      <c r="AA460"/>
    </row>
    <row r="461" spans="1:27" x14ac:dyDescent="0.25">
      <c r="A461"/>
      <c r="B461"/>
      <c r="C461"/>
      <c r="D46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/>
      <c r="Q461"/>
      <c r="R461"/>
      <c r="AA461"/>
    </row>
    <row r="462" spans="1:27" x14ac:dyDescent="0.25">
      <c r="A462"/>
      <c r="B462"/>
      <c r="C462"/>
      <c r="D46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/>
      <c r="Q462"/>
      <c r="R462"/>
      <c r="AA462"/>
    </row>
    <row r="463" spans="1:27" x14ac:dyDescent="0.25">
      <c r="A463"/>
      <c r="B463"/>
      <c r="C463"/>
      <c r="D46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/>
      <c r="Q463"/>
      <c r="R463"/>
      <c r="AA463"/>
    </row>
    <row r="464" spans="1:27" x14ac:dyDescent="0.25">
      <c r="A464"/>
      <c r="B464"/>
      <c r="C464"/>
      <c r="D46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/>
      <c r="Q464"/>
      <c r="R464"/>
      <c r="AA464"/>
    </row>
    <row r="465" spans="1:27" x14ac:dyDescent="0.25">
      <c r="A465"/>
      <c r="B465"/>
      <c r="C465"/>
      <c r="D46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/>
      <c r="Q465"/>
      <c r="R465"/>
      <c r="AA465"/>
    </row>
    <row r="466" spans="1:27" x14ac:dyDescent="0.25">
      <c r="A466"/>
      <c r="B466"/>
      <c r="C466"/>
      <c r="D46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/>
      <c r="Q466"/>
      <c r="R466"/>
      <c r="AA466"/>
    </row>
    <row r="467" spans="1:27" x14ac:dyDescent="0.25">
      <c r="A467"/>
      <c r="B467"/>
      <c r="C467"/>
      <c r="D467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/>
      <c r="Q467"/>
      <c r="R467"/>
      <c r="AA467"/>
    </row>
    <row r="468" spans="1:27" x14ac:dyDescent="0.25">
      <c r="A468"/>
      <c r="B468"/>
      <c r="C468"/>
      <c r="D468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/>
      <c r="Q468"/>
      <c r="R468"/>
      <c r="AA468"/>
    </row>
    <row r="469" spans="1:27" x14ac:dyDescent="0.25">
      <c r="A469"/>
      <c r="B469"/>
      <c r="C469"/>
      <c r="D469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/>
      <c r="Q469"/>
      <c r="R469"/>
      <c r="AA469"/>
    </row>
    <row r="470" spans="1:27" x14ac:dyDescent="0.25">
      <c r="A470"/>
      <c r="B470"/>
      <c r="C470"/>
      <c r="D470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/>
      <c r="Q470"/>
      <c r="R470"/>
      <c r="AA470"/>
    </row>
    <row r="471" spans="1:27" x14ac:dyDescent="0.25">
      <c r="A471"/>
      <c r="B471"/>
      <c r="C471"/>
      <c r="D47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/>
      <c r="Q471"/>
      <c r="R471"/>
      <c r="AA471"/>
    </row>
    <row r="472" spans="1:27" x14ac:dyDescent="0.25">
      <c r="A472"/>
      <c r="B472"/>
      <c r="C472"/>
      <c r="D47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/>
      <c r="Q472"/>
      <c r="R472"/>
      <c r="AA472"/>
    </row>
    <row r="473" spans="1:27" x14ac:dyDescent="0.25">
      <c r="A473"/>
      <c r="B473"/>
      <c r="C473"/>
      <c r="D47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/>
      <c r="Q473"/>
      <c r="R473"/>
      <c r="AA473"/>
    </row>
    <row r="474" spans="1:27" x14ac:dyDescent="0.25">
      <c r="A474"/>
      <c r="B474"/>
      <c r="C474"/>
      <c r="D47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/>
      <c r="Q474"/>
      <c r="R474"/>
      <c r="AA474"/>
    </row>
    <row r="475" spans="1:27" x14ac:dyDescent="0.25">
      <c r="A475"/>
      <c r="B475"/>
      <c r="C475"/>
      <c r="D47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/>
      <c r="Q475"/>
      <c r="R475"/>
      <c r="AA475"/>
    </row>
    <row r="476" spans="1:27" x14ac:dyDescent="0.25">
      <c r="A476"/>
      <c r="B476"/>
      <c r="C476"/>
      <c r="D47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/>
      <c r="Q476"/>
      <c r="R476"/>
      <c r="AA476"/>
    </row>
    <row r="477" spans="1:27" x14ac:dyDescent="0.25">
      <c r="A477"/>
      <c r="B477"/>
      <c r="C477"/>
      <c r="D477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/>
      <c r="Q477"/>
      <c r="R477"/>
      <c r="AA477"/>
    </row>
    <row r="478" spans="1:27" x14ac:dyDescent="0.25">
      <c r="A478"/>
      <c r="B478"/>
      <c r="C478"/>
      <c r="D478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  <c r="Q478"/>
      <c r="R478"/>
      <c r="AA478"/>
    </row>
    <row r="479" spans="1:27" x14ac:dyDescent="0.25">
      <c r="A479"/>
      <c r="B479"/>
      <c r="C479"/>
      <c r="D479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/>
      <c r="Q479"/>
      <c r="R479"/>
      <c r="AA479"/>
    </row>
    <row r="480" spans="1:27" x14ac:dyDescent="0.25">
      <c r="A480"/>
      <c r="B480"/>
      <c r="C480"/>
      <c r="D480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/>
      <c r="Q480"/>
      <c r="R480"/>
      <c r="AA480"/>
    </row>
    <row r="481" spans="1:27" x14ac:dyDescent="0.25">
      <c r="A481"/>
      <c r="B481"/>
      <c r="C481"/>
      <c r="D48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/>
      <c r="Q481"/>
      <c r="R481"/>
      <c r="AA481"/>
    </row>
    <row r="482" spans="1:27" x14ac:dyDescent="0.25">
      <c r="A482"/>
      <c r="B482"/>
      <c r="C482"/>
      <c r="D48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/>
      <c r="Q482"/>
      <c r="R482"/>
      <c r="AA482"/>
    </row>
    <row r="483" spans="1:27" x14ac:dyDescent="0.25">
      <c r="A483"/>
      <c r="B483"/>
      <c r="C483"/>
      <c r="D48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/>
      <c r="Q483"/>
      <c r="R483"/>
      <c r="AA483"/>
    </row>
    <row r="484" spans="1:27" x14ac:dyDescent="0.25">
      <c r="A484"/>
      <c r="B484"/>
      <c r="C484"/>
      <c r="D48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/>
      <c r="Q484"/>
      <c r="R484"/>
      <c r="AA484"/>
    </row>
    <row r="485" spans="1:27" x14ac:dyDescent="0.25">
      <c r="A485"/>
      <c r="B485"/>
      <c r="C485"/>
      <c r="D48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  <c r="Q485"/>
      <c r="R485"/>
      <c r="AA485"/>
    </row>
    <row r="486" spans="1:27" x14ac:dyDescent="0.25">
      <c r="A486"/>
      <c r="B486"/>
      <c r="C486"/>
      <c r="D48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/>
      <c r="Q486"/>
      <c r="R486"/>
      <c r="AA486"/>
    </row>
    <row r="487" spans="1:27" x14ac:dyDescent="0.25">
      <c r="A487"/>
      <c r="B487"/>
      <c r="C487"/>
      <c r="D487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/>
      <c r="Q487"/>
      <c r="R487"/>
      <c r="AA487"/>
    </row>
    <row r="488" spans="1:27" x14ac:dyDescent="0.25">
      <c r="A488"/>
      <c r="B488"/>
      <c r="C488"/>
      <c r="D488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/>
      <c r="Q488"/>
      <c r="R488"/>
      <c r="AA488"/>
    </row>
    <row r="489" spans="1:27" x14ac:dyDescent="0.25">
      <c r="A489"/>
      <c r="B489"/>
      <c r="C489"/>
      <c r="D489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/>
      <c r="Q489"/>
      <c r="R489"/>
      <c r="AA489"/>
    </row>
    <row r="490" spans="1:27" x14ac:dyDescent="0.25">
      <c r="A490"/>
      <c r="B490"/>
      <c r="C490"/>
      <c r="D490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/>
      <c r="Q490"/>
      <c r="R490"/>
      <c r="AA490"/>
    </row>
    <row r="491" spans="1:27" x14ac:dyDescent="0.25">
      <c r="A491"/>
      <c r="B491"/>
      <c r="C491"/>
      <c r="D49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/>
      <c r="Q491"/>
      <c r="R491"/>
      <c r="AA491"/>
    </row>
    <row r="492" spans="1:27" x14ac:dyDescent="0.25">
      <c r="A492"/>
      <c r="B492"/>
      <c r="C492"/>
      <c r="D49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  <c r="Q492"/>
      <c r="R492"/>
      <c r="AA492"/>
    </row>
    <row r="493" spans="1:27" x14ac:dyDescent="0.25">
      <c r="A493"/>
      <c r="B493"/>
      <c r="C493"/>
      <c r="D49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/>
      <c r="Q493"/>
      <c r="R493"/>
      <c r="AA493"/>
    </row>
    <row r="494" spans="1:27" x14ac:dyDescent="0.25">
      <c r="A494"/>
      <c r="B494"/>
      <c r="C494"/>
      <c r="D49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/>
      <c r="Q494"/>
      <c r="R494"/>
      <c r="AA494"/>
    </row>
    <row r="495" spans="1:27" x14ac:dyDescent="0.25">
      <c r="A495"/>
      <c r="B495"/>
      <c r="C495"/>
      <c r="D49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/>
      <c r="Q495"/>
      <c r="R495"/>
      <c r="AA495"/>
    </row>
    <row r="496" spans="1:27" x14ac:dyDescent="0.25">
      <c r="A496"/>
      <c r="B496"/>
      <c r="C496"/>
      <c r="D49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/>
      <c r="Q496"/>
      <c r="R496"/>
      <c r="AA496"/>
    </row>
    <row r="497" spans="1:27" x14ac:dyDescent="0.25">
      <c r="A497"/>
      <c r="B497"/>
      <c r="C497"/>
      <c r="D49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/>
      <c r="Q497"/>
      <c r="R497"/>
      <c r="AA497"/>
    </row>
    <row r="498" spans="1:27" x14ac:dyDescent="0.25">
      <c r="A498"/>
      <c r="B498"/>
      <c r="C498"/>
      <c r="D498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/>
      <c r="Q498"/>
      <c r="R498"/>
      <c r="AA498"/>
    </row>
    <row r="499" spans="1:27" x14ac:dyDescent="0.25">
      <c r="A499"/>
      <c r="B499"/>
      <c r="C499"/>
      <c r="D499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/>
      <c r="Q499"/>
      <c r="R499"/>
      <c r="AA499"/>
    </row>
    <row r="500" spans="1:27" x14ac:dyDescent="0.25">
      <c r="A500"/>
      <c r="B500"/>
      <c r="C500"/>
      <c r="D500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/>
      <c r="Q500"/>
      <c r="R500"/>
      <c r="AA500"/>
    </row>
    <row r="501" spans="1:27" x14ac:dyDescent="0.25">
      <c r="A501"/>
      <c r="B501"/>
      <c r="C501"/>
      <c r="D50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/>
      <c r="Q501"/>
      <c r="R501"/>
      <c r="AA501"/>
    </row>
    <row r="502" spans="1:27" x14ac:dyDescent="0.25">
      <c r="A502"/>
      <c r="B502"/>
      <c r="C502"/>
      <c r="D50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/>
      <c r="Q502"/>
      <c r="R502"/>
      <c r="AA502"/>
    </row>
    <row r="503" spans="1:27" x14ac:dyDescent="0.25">
      <c r="A503"/>
      <c r="B503"/>
      <c r="C503"/>
      <c r="D50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/>
      <c r="Q503"/>
      <c r="R503"/>
      <c r="AA503"/>
    </row>
    <row r="504" spans="1:27" x14ac:dyDescent="0.25">
      <c r="A504"/>
      <c r="B504"/>
      <c r="C504"/>
      <c r="D50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/>
      <c r="Q504"/>
      <c r="R504"/>
      <c r="AA504"/>
    </row>
    <row r="505" spans="1:27" x14ac:dyDescent="0.25">
      <c r="A505"/>
      <c r="B505"/>
      <c r="C505"/>
      <c r="D50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/>
      <c r="Q505"/>
      <c r="R505"/>
      <c r="AA505"/>
    </row>
    <row r="506" spans="1:27" x14ac:dyDescent="0.25">
      <c r="A506"/>
      <c r="B506"/>
      <c r="C506"/>
      <c r="D50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/>
      <c r="Q506"/>
      <c r="R506"/>
      <c r="AA506"/>
    </row>
    <row r="507" spans="1:27" x14ac:dyDescent="0.25">
      <c r="A507"/>
      <c r="B507"/>
      <c r="C507"/>
      <c r="D507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/>
      <c r="Q507"/>
      <c r="R507"/>
      <c r="AA507"/>
    </row>
    <row r="508" spans="1:27" x14ac:dyDescent="0.25">
      <c r="A508"/>
      <c r="B508"/>
      <c r="C508"/>
      <c r="D50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/>
      <c r="Q508"/>
      <c r="R508"/>
      <c r="AA508"/>
    </row>
    <row r="509" spans="1:27" x14ac:dyDescent="0.25">
      <c r="A509"/>
      <c r="B509"/>
      <c r="C509"/>
      <c r="D509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/>
      <c r="Q509"/>
      <c r="R509"/>
      <c r="AA509"/>
    </row>
    <row r="510" spans="1:27" x14ac:dyDescent="0.25">
      <c r="A510"/>
      <c r="B510"/>
      <c r="C510"/>
      <c r="D510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/>
      <c r="Q510"/>
      <c r="R510"/>
      <c r="AA510"/>
    </row>
    <row r="511" spans="1:27" x14ac:dyDescent="0.25">
      <c r="A511"/>
      <c r="B511"/>
      <c r="C511"/>
      <c r="D51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/>
      <c r="Q511"/>
      <c r="R511"/>
      <c r="AA511"/>
    </row>
    <row r="512" spans="1:27" x14ac:dyDescent="0.25">
      <c r="A512"/>
      <c r="B512"/>
      <c r="C512"/>
      <c r="D51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/>
      <c r="Q512"/>
      <c r="R512"/>
      <c r="AA512"/>
    </row>
    <row r="513" spans="1:27" x14ac:dyDescent="0.25">
      <c r="A513"/>
      <c r="B513"/>
      <c r="C513"/>
      <c r="D51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/>
      <c r="Q513"/>
      <c r="R513"/>
      <c r="AA513"/>
    </row>
    <row r="514" spans="1:27" x14ac:dyDescent="0.25">
      <c r="A514"/>
      <c r="B514"/>
      <c r="C514"/>
      <c r="D51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/>
      <c r="Q514"/>
      <c r="R514"/>
      <c r="AA514"/>
    </row>
    <row r="515" spans="1:27" x14ac:dyDescent="0.25">
      <c r="A515"/>
      <c r="B515"/>
      <c r="C515"/>
      <c r="D51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/>
      <c r="Q515"/>
      <c r="R515"/>
      <c r="AA515"/>
    </row>
    <row r="516" spans="1:27" x14ac:dyDescent="0.25">
      <c r="A516"/>
      <c r="B516"/>
      <c r="C516"/>
      <c r="D51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/>
      <c r="Q516"/>
      <c r="R516"/>
      <c r="AA516"/>
    </row>
    <row r="517" spans="1:27" x14ac:dyDescent="0.25">
      <c r="A517"/>
      <c r="B517"/>
      <c r="C517"/>
      <c r="D517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/>
      <c r="Q517"/>
      <c r="R517"/>
      <c r="AA517"/>
    </row>
    <row r="518" spans="1:27" x14ac:dyDescent="0.25">
      <c r="A518"/>
      <c r="B518"/>
      <c r="C518"/>
      <c r="D518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/>
      <c r="Q518"/>
      <c r="R518"/>
      <c r="AA518"/>
    </row>
    <row r="519" spans="1:27" x14ac:dyDescent="0.25">
      <c r="A519"/>
      <c r="B519"/>
      <c r="C519"/>
      <c r="D519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/>
      <c r="Q519"/>
      <c r="R519"/>
      <c r="AA519"/>
    </row>
    <row r="520" spans="1:27" x14ac:dyDescent="0.25">
      <c r="A520"/>
      <c r="B520"/>
      <c r="C520"/>
      <c r="D520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/>
      <c r="Q520"/>
      <c r="R520"/>
      <c r="AA520"/>
    </row>
    <row r="521" spans="1:27" x14ac:dyDescent="0.25">
      <c r="A521"/>
      <c r="B521"/>
      <c r="C521"/>
      <c r="D52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/>
      <c r="Q521"/>
      <c r="R521"/>
      <c r="AA521"/>
    </row>
    <row r="522" spans="1:27" x14ac:dyDescent="0.25">
      <c r="A522"/>
      <c r="B522"/>
      <c r="C522"/>
      <c r="D52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/>
      <c r="Q522"/>
      <c r="R522"/>
      <c r="AA522"/>
    </row>
    <row r="523" spans="1:27" x14ac:dyDescent="0.25">
      <c r="A523"/>
      <c r="B523"/>
      <c r="C523"/>
      <c r="D52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/>
      <c r="Q523"/>
      <c r="R523"/>
      <c r="AA523"/>
    </row>
    <row r="524" spans="1:27" x14ac:dyDescent="0.25">
      <c r="A524"/>
      <c r="B524"/>
      <c r="C524"/>
      <c r="D52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  <c r="Q524"/>
      <c r="R524"/>
      <c r="AA524"/>
    </row>
    <row r="525" spans="1:27" x14ac:dyDescent="0.25">
      <c r="A525"/>
      <c r="B525"/>
      <c r="C525"/>
      <c r="D52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/>
      <c r="Q525"/>
      <c r="R525"/>
      <c r="AA525"/>
    </row>
    <row r="526" spans="1:27" x14ac:dyDescent="0.25">
      <c r="A526"/>
      <c r="B526"/>
      <c r="C526"/>
      <c r="D52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/>
      <c r="Q526"/>
      <c r="R526"/>
      <c r="AA526"/>
    </row>
    <row r="527" spans="1:27" x14ac:dyDescent="0.25">
      <c r="A527"/>
      <c r="B527"/>
      <c r="C527"/>
      <c r="D527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/>
      <c r="Q527"/>
      <c r="R527"/>
      <c r="AA527"/>
    </row>
    <row r="528" spans="1:27" x14ac:dyDescent="0.25">
      <c r="A528"/>
      <c r="B528"/>
      <c r="C528"/>
      <c r="D528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/>
      <c r="Q528"/>
      <c r="R528"/>
      <c r="AA528"/>
    </row>
    <row r="529" spans="1:27" x14ac:dyDescent="0.25">
      <c r="A529"/>
      <c r="B529"/>
      <c r="C529"/>
      <c r="D529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/>
      <c r="Q529"/>
      <c r="R529"/>
      <c r="AA529"/>
    </row>
    <row r="530" spans="1:27" x14ac:dyDescent="0.25">
      <c r="A530"/>
      <c r="B530"/>
      <c r="C530"/>
      <c r="D530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/>
      <c r="Q530"/>
      <c r="R530"/>
      <c r="AA530"/>
    </row>
    <row r="531" spans="1:27" x14ac:dyDescent="0.25">
      <c r="A531"/>
      <c r="B531"/>
      <c r="C531"/>
      <c r="D53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  <c r="Q531"/>
      <c r="R531"/>
      <c r="AA531"/>
    </row>
    <row r="532" spans="1:27" x14ac:dyDescent="0.25">
      <c r="A532"/>
      <c r="B532"/>
      <c r="C532"/>
      <c r="D53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/>
      <c r="Q532"/>
      <c r="R532"/>
      <c r="AA532"/>
    </row>
    <row r="533" spans="1:27" x14ac:dyDescent="0.25">
      <c r="A533"/>
      <c r="B533"/>
      <c r="C533"/>
      <c r="D53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/>
      <c r="Q533"/>
      <c r="R533"/>
      <c r="AA533"/>
    </row>
    <row r="534" spans="1:27" x14ac:dyDescent="0.25">
      <c r="A534"/>
      <c r="B534"/>
      <c r="C534"/>
      <c r="D53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/>
      <c r="Q534"/>
      <c r="R534"/>
      <c r="AA534"/>
    </row>
    <row r="535" spans="1:27" x14ac:dyDescent="0.25">
      <c r="A535"/>
      <c r="B535"/>
      <c r="C535"/>
      <c r="D53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/>
      <c r="Q535"/>
      <c r="R535"/>
      <c r="AA535"/>
    </row>
    <row r="536" spans="1:27" x14ac:dyDescent="0.25">
      <c r="A536"/>
      <c r="B536"/>
      <c r="C536"/>
      <c r="D53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/>
      <c r="Q536"/>
      <c r="R536"/>
      <c r="AA536"/>
    </row>
    <row r="537" spans="1:27" x14ac:dyDescent="0.25">
      <c r="A537"/>
      <c r="B537"/>
      <c r="C537"/>
      <c r="D537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/>
      <c r="Q537"/>
      <c r="R537"/>
      <c r="AA537"/>
    </row>
    <row r="538" spans="1:27" x14ac:dyDescent="0.25">
      <c r="A538"/>
      <c r="B538"/>
      <c r="C538"/>
      <c r="D538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  <c r="Q538"/>
      <c r="R538"/>
      <c r="AA538"/>
    </row>
    <row r="539" spans="1:27" x14ac:dyDescent="0.25">
      <c r="A539"/>
      <c r="B539"/>
      <c r="C539"/>
      <c r="D539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/>
      <c r="Q539"/>
      <c r="R539"/>
      <c r="AA539"/>
    </row>
    <row r="540" spans="1:27" x14ac:dyDescent="0.25">
      <c r="A540"/>
      <c r="B540"/>
      <c r="C540"/>
      <c r="D540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/>
      <c r="Q540"/>
      <c r="R540"/>
      <c r="AA540"/>
    </row>
    <row r="541" spans="1:27" x14ac:dyDescent="0.25">
      <c r="A541"/>
      <c r="B541"/>
      <c r="C541"/>
      <c r="D54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/>
      <c r="Q541"/>
      <c r="R541"/>
      <c r="AA541"/>
    </row>
    <row r="542" spans="1:27" x14ac:dyDescent="0.25">
      <c r="A542"/>
      <c r="B542"/>
      <c r="C542"/>
      <c r="D54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/>
      <c r="Q542"/>
      <c r="R542"/>
      <c r="AA542"/>
    </row>
    <row r="543" spans="1:27" x14ac:dyDescent="0.25">
      <c r="A543"/>
      <c r="B543"/>
      <c r="C543"/>
      <c r="D54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/>
      <c r="Q543"/>
      <c r="R543"/>
      <c r="AA543"/>
    </row>
    <row r="544" spans="1:27" x14ac:dyDescent="0.25">
      <c r="A544"/>
      <c r="B544"/>
      <c r="C544"/>
      <c r="D54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/>
      <c r="Q544"/>
      <c r="R544"/>
      <c r="AA544"/>
    </row>
    <row r="545" spans="1:27" x14ac:dyDescent="0.25">
      <c r="A545"/>
      <c r="B545"/>
      <c r="C545"/>
      <c r="D54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/>
      <c r="Q545"/>
      <c r="R545"/>
      <c r="AA545"/>
    </row>
    <row r="546" spans="1:27" x14ac:dyDescent="0.25">
      <c r="A546"/>
      <c r="B546"/>
      <c r="C546"/>
      <c r="D54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/>
      <c r="Q546"/>
      <c r="R546"/>
      <c r="AA546"/>
    </row>
    <row r="547" spans="1:27" x14ac:dyDescent="0.25">
      <c r="A547"/>
      <c r="B547"/>
      <c r="C547"/>
      <c r="D547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/>
      <c r="Q547"/>
      <c r="R547"/>
      <c r="AA547"/>
    </row>
    <row r="548" spans="1:27" x14ac:dyDescent="0.25">
      <c r="A548"/>
      <c r="B548"/>
      <c r="C548"/>
      <c r="D548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/>
      <c r="Q548"/>
      <c r="R548"/>
      <c r="AA548"/>
    </row>
    <row r="549" spans="1:27" x14ac:dyDescent="0.25">
      <c r="A549"/>
      <c r="B549"/>
      <c r="C549"/>
      <c r="D549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/>
      <c r="Q549"/>
      <c r="R549"/>
      <c r="AA549"/>
    </row>
    <row r="550" spans="1:27" x14ac:dyDescent="0.25">
      <c r="A550"/>
      <c r="B550"/>
      <c r="C550"/>
      <c r="D550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/>
      <c r="Q550"/>
      <c r="R550"/>
      <c r="AA550"/>
    </row>
    <row r="551" spans="1:27" x14ac:dyDescent="0.25">
      <c r="A551"/>
      <c r="B551"/>
      <c r="C551"/>
      <c r="D55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/>
      <c r="Q551"/>
      <c r="R551"/>
      <c r="AA551"/>
    </row>
    <row r="552" spans="1:27" x14ac:dyDescent="0.25">
      <c r="A552"/>
      <c r="B552"/>
      <c r="C552"/>
      <c r="D55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/>
      <c r="Q552"/>
      <c r="R552"/>
      <c r="AA552"/>
    </row>
    <row r="553" spans="1:27" x14ac:dyDescent="0.25">
      <c r="A553"/>
      <c r="B553"/>
      <c r="C553"/>
      <c r="D55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/>
      <c r="Q553"/>
      <c r="R553"/>
      <c r="AA553"/>
    </row>
    <row r="554" spans="1:27" x14ac:dyDescent="0.25">
      <c r="A554"/>
      <c r="B554"/>
      <c r="C554"/>
      <c r="D55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/>
      <c r="Q554"/>
      <c r="R554"/>
      <c r="AA554"/>
    </row>
    <row r="555" spans="1:27" x14ac:dyDescent="0.25">
      <c r="A555"/>
      <c r="B555"/>
      <c r="C555"/>
      <c r="D55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/>
      <c r="Q555"/>
      <c r="R555"/>
      <c r="AA555"/>
    </row>
    <row r="556" spans="1:27" x14ac:dyDescent="0.25">
      <c r="A556"/>
      <c r="B556"/>
      <c r="C556"/>
      <c r="D55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/>
      <c r="Q556"/>
      <c r="R556"/>
      <c r="AA556"/>
    </row>
    <row r="557" spans="1:27" x14ac:dyDescent="0.25">
      <c r="A557"/>
      <c r="B557"/>
      <c r="C557"/>
      <c r="D557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/>
      <c r="Q557"/>
      <c r="R557"/>
      <c r="AA557"/>
    </row>
    <row r="558" spans="1:27" x14ac:dyDescent="0.25">
      <c r="A558"/>
      <c r="B558"/>
      <c r="C558"/>
      <c r="D558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/>
      <c r="Q558"/>
      <c r="R558"/>
      <c r="AA558"/>
    </row>
    <row r="559" spans="1:27" x14ac:dyDescent="0.25">
      <c r="A559"/>
      <c r="B559"/>
      <c r="C559"/>
      <c r="D559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/>
      <c r="Q559"/>
      <c r="R559"/>
      <c r="AA559"/>
    </row>
    <row r="560" spans="1:27" x14ac:dyDescent="0.25">
      <c r="A560"/>
      <c r="B560"/>
      <c r="C560"/>
      <c r="D560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/>
      <c r="Q560"/>
      <c r="R560"/>
      <c r="AA560"/>
    </row>
    <row r="561" spans="1:27" x14ac:dyDescent="0.25">
      <c r="A561"/>
      <c r="B561"/>
      <c r="C561"/>
      <c r="D56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/>
      <c r="Q561"/>
      <c r="R561"/>
      <c r="AA561"/>
    </row>
    <row r="562" spans="1:27" x14ac:dyDescent="0.25">
      <c r="A562"/>
      <c r="B562"/>
      <c r="C562"/>
      <c r="D56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/>
      <c r="Q562"/>
      <c r="R562"/>
      <c r="AA562"/>
    </row>
    <row r="563" spans="1:27" x14ac:dyDescent="0.25">
      <c r="A563"/>
      <c r="B563"/>
      <c r="C563"/>
      <c r="D56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/>
      <c r="Q563"/>
      <c r="R563"/>
      <c r="AA563"/>
    </row>
    <row r="564" spans="1:27" x14ac:dyDescent="0.25">
      <c r="A564"/>
      <c r="B564"/>
      <c r="C564"/>
      <c r="D56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/>
      <c r="Q564"/>
      <c r="R564"/>
      <c r="AA564"/>
    </row>
    <row r="565" spans="1:27" x14ac:dyDescent="0.25">
      <c r="A565"/>
      <c r="B565"/>
      <c r="C565"/>
      <c r="D56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/>
      <c r="Q565"/>
      <c r="R565"/>
      <c r="AA565"/>
    </row>
    <row r="566" spans="1:27" x14ac:dyDescent="0.25">
      <c r="A566"/>
      <c r="B566"/>
      <c r="C566"/>
      <c r="D56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/>
      <c r="Q566"/>
      <c r="R566"/>
      <c r="AA566"/>
    </row>
    <row r="567" spans="1:27" x14ac:dyDescent="0.25">
      <c r="A567"/>
      <c r="B567"/>
      <c r="C567"/>
      <c r="D567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/>
      <c r="Q567"/>
      <c r="R567"/>
      <c r="AA567"/>
    </row>
    <row r="568" spans="1:27" x14ac:dyDescent="0.25">
      <c r="A568"/>
      <c r="B568"/>
      <c r="C568"/>
      <c r="D568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/>
      <c r="Q568"/>
      <c r="R568"/>
      <c r="AA568"/>
    </row>
    <row r="569" spans="1:27" x14ac:dyDescent="0.25">
      <c r="A569"/>
      <c r="B569"/>
      <c r="C569"/>
      <c r="D569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/>
      <c r="Q569"/>
      <c r="R569"/>
      <c r="AA569"/>
    </row>
    <row r="570" spans="1:27" x14ac:dyDescent="0.25">
      <c r="A570"/>
      <c r="B570"/>
      <c r="C570"/>
      <c r="D570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/>
      <c r="Q570"/>
      <c r="R570"/>
      <c r="AA570"/>
    </row>
    <row r="571" spans="1:27" x14ac:dyDescent="0.25">
      <c r="A571"/>
      <c r="B571"/>
      <c r="C571"/>
      <c r="D57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/>
      <c r="Q571"/>
      <c r="R571"/>
      <c r="AA571"/>
    </row>
    <row r="572" spans="1:27" x14ac:dyDescent="0.25">
      <c r="A572"/>
      <c r="B572"/>
      <c r="C572"/>
      <c r="D57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/>
      <c r="Q572"/>
      <c r="R572"/>
      <c r="AA572"/>
    </row>
    <row r="573" spans="1:27" x14ac:dyDescent="0.25">
      <c r="A573"/>
      <c r="B573"/>
      <c r="C573"/>
      <c r="D57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/>
      <c r="Q573"/>
      <c r="R573"/>
      <c r="AA573"/>
    </row>
    <row r="574" spans="1:27" x14ac:dyDescent="0.25">
      <c r="A574"/>
      <c r="B574"/>
      <c r="C574"/>
      <c r="D57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/>
      <c r="Q574"/>
      <c r="R574"/>
      <c r="AA574"/>
    </row>
    <row r="575" spans="1:27" x14ac:dyDescent="0.25">
      <c r="A575"/>
      <c r="B575"/>
      <c r="C575"/>
      <c r="D57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/>
      <c r="Q575"/>
      <c r="R575"/>
      <c r="AA575"/>
    </row>
    <row r="576" spans="1:27" x14ac:dyDescent="0.25">
      <c r="A576"/>
      <c r="B576"/>
      <c r="C576"/>
      <c r="D57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/>
      <c r="Q576"/>
      <c r="R576"/>
      <c r="AA576"/>
    </row>
    <row r="577" spans="1:27" x14ac:dyDescent="0.25">
      <c r="A577"/>
      <c r="B577"/>
      <c r="C577"/>
      <c r="D577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/>
      <c r="Q577"/>
      <c r="R577"/>
      <c r="AA577"/>
    </row>
    <row r="578" spans="1:27" x14ac:dyDescent="0.25">
      <c r="A578"/>
      <c r="B578"/>
      <c r="C578"/>
      <c r="D578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/>
      <c r="Q578"/>
      <c r="R578"/>
      <c r="AA578"/>
    </row>
    <row r="579" spans="1:27" x14ac:dyDescent="0.25">
      <c r="A579"/>
      <c r="B579"/>
      <c r="C579"/>
      <c r="D579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/>
      <c r="Q579"/>
      <c r="R579"/>
      <c r="AA579"/>
    </row>
    <row r="580" spans="1:27" x14ac:dyDescent="0.25">
      <c r="A580"/>
      <c r="B580"/>
      <c r="C580"/>
      <c r="D580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/>
      <c r="Q580"/>
      <c r="R580"/>
      <c r="AA580"/>
    </row>
    <row r="581" spans="1:27" x14ac:dyDescent="0.25">
      <c r="A581"/>
      <c r="B581"/>
      <c r="C581"/>
      <c r="D58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/>
      <c r="Q581"/>
      <c r="R581"/>
      <c r="AA581"/>
    </row>
    <row r="582" spans="1:27" x14ac:dyDescent="0.25">
      <c r="A582"/>
      <c r="B582"/>
      <c r="C582"/>
      <c r="D58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/>
      <c r="Q582"/>
      <c r="R582"/>
      <c r="AA582"/>
    </row>
    <row r="583" spans="1:27" x14ac:dyDescent="0.25">
      <c r="A583"/>
      <c r="B583"/>
      <c r="C583"/>
      <c r="D58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/>
      <c r="Q583"/>
      <c r="R583"/>
      <c r="AA583"/>
    </row>
    <row r="584" spans="1:27" x14ac:dyDescent="0.25">
      <c r="A584"/>
      <c r="B584"/>
      <c r="C584"/>
      <c r="D58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/>
      <c r="Q584"/>
      <c r="R584"/>
      <c r="AA584"/>
    </row>
    <row r="585" spans="1:27" x14ac:dyDescent="0.25">
      <c r="A585"/>
      <c r="B585"/>
      <c r="C585"/>
      <c r="D58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/>
      <c r="Q585"/>
      <c r="R585"/>
      <c r="AA585"/>
    </row>
    <row r="586" spans="1:27" x14ac:dyDescent="0.25">
      <c r="A586"/>
      <c r="B586"/>
      <c r="C586"/>
      <c r="D58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/>
      <c r="Q586"/>
      <c r="R586"/>
      <c r="AA586"/>
    </row>
    <row r="587" spans="1:27" x14ac:dyDescent="0.25">
      <c r="A587"/>
      <c r="B587"/>
      <c r="C587"/>
      <c r="D587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/>
      <c r="Q587"/>
      <c r="R587"/>
      <c r="AA587"/>
    </row>
    <row r="588" spans="1:27" x14ac:dyDescent="0.25">
      <c r="A588"/>
      <c r="B588"/>
      <c r="C588"/>
      <c r="D588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/>
      <c r="Q588"/>
      <c r="R588"/>
      <c r="AA588"/>
    </row>
    <row r="589" spans="1:27" x14ac:dyDescent="0.25">
      <c r="A589"/>
      <c r="B589"/>
      <c r="C589"/>
      <c r="D589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/>
      <c r="Q589"/>
      <c r="R589"/>
      <c r="AA589"/>
    </row>
    <row r="590" spans="1:27" x14ac:dyDescent="0.25">
      <c r="A590"/>
      <c r="B590"/>
      <c r="C590"/>
      <c r="D590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/>
      <c r="Q590"/>
      <c r="R590"/>
      <c r="AA590"/>
    </row>
    <row r="591" spans="1:27" x14ac:dyDescent="0.25">
      <c r="A591"/>
      <c r="B591"/>
      <c r="C591"/>
      <c r="D59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/>
      <c r="Q591"/>
      <c r="R591"/>
      <c r="AA591"/>
    </row>
    <row r="592" spans="1:27" x14ac:dyDescent="0.25">
      <c r="A592"/>
      <c r="B592"/>
      <c r="C592"/>
      <c r="D59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/>
      <c r="Q592"/>
      <c r="R592"/>
      <c r="AA592"/>
    </row>
    <row r="593" spans="1:27" x14ac:dyDescent="0.25">
      <c r="A593"/>
      <c r="B593"/>
      <c r="C593"/>
      <c r="D59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/>
      <c r="Q593"/>
      <c r="R593"/>
      <c r="AA593"/>
    </row>
    <row r="594" spans="1:27" x14ac:dyDescent="0.25">
      <c r="A594"/>
      <c r="B594"/>
      <c r="C594"/>
      <c r="D59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/>
      <c r="Q594"/>
      <c r="R594"/>
      <c r="AA594"/>
    </row>
    <row r="595" spans="1:27" x14ac:dyDescent="0.25">
      <c r="A595"/>
      <c r="B595"/>
      <c r="C595"/>
      <c r="D59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/>
      <c r="Q595"/>
      <c r="R595"/>
      <c r="AA595"/>
    </row>
    <row r="596" spans="1:27" x14ac:dyDescent="0.25">
      <c r="A596"/>
      <c r="B596"/>
      <c r="C596"/>
      <c r="D59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/>
      <c r="Q596"/>
      <c r="R596"/>
      <c r="AA596"/>
    </row>
    <row r="597" spans="1:27" x14ac:dyDescent="0.25">
      <c r="A597"/>
      <c r="B597"/>
      <c r="C597"/>
      <c r="D597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/>
      <c r="Q597"/>
      <c r="R597"/>
      <c r="AA597"/>
    </row>
    <row r="598" spans="1:27" x14ac:dyDescent="0.25">
      <c r="A598"/>
      <c r="B598"/>
      <c r="C598"/>
      <c r="D598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/>
      <c r="Q598"/>
      <c r="R598"/>
      <c r="AA598"/>
    </row>
    <row r="599" spans="1:27" x14ac:dyDescent="0.25">
      <c r="A599"/>
      <c r="B599"/>
      <c r="C599"/>
      <c r="D599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/>
      <c r="Q599"/>
      <c r="R599"/>
      <c r="AA599"/>
    </row>
    <row r="600" spans="1:27" x14ac:dyDescent="0.25">
      <c r="A600"/>
      <c r="B600"/>
      <c r="C600"/>
      <c r="D600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/>
      <c r="Q600"/>
      <c r="R600"/>
      <c r="AA600"/>
    </row>
    <row r="601" spans="1:27" x14ac:dyDescent="0.25">
      <c r="A601"/>
      <c r="B601"/>
      <c r="C601"/>
      <c r="D60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/>
      <c r="Q601"/>
      <c r="R601"/>
      <c r="AA601"/>
    </row>
    <row r="602" spans="1:27" x14ac:dyDescent="0.25">
      <c r="A602"/>
      <c r="B602"/>
      <c r="C602"/>
      <c r="D60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/>
      <c r="Q602"/>
      <c r="R602"/>
      <c r="AA602"/>
    </row>
    <row r="603" spans="1:27" x14ac:dyDescent="0.25">
      <c r="A603"/>
      <c r="B603"/>
      <c r="C603"/>
      <c r="D60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/>
      <c r="Q603"/>
      <c r="R603"/>
      <c r="AA603"/>
    </row>
    <row r="604" spans="1:27" x14ac:dyDescent="0.25">
      <c r="A604"/>
      <c r="B604"/>
      <c r="C604"/>
      <c r="D60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/>
      <c r="Q604"/>
      <c r="R604"/>
      <c r="AA604"/>
    </row>
    <row r="605" spans="1:27" x14ac:dyDescent="0.25">
      <c r="A605"/>
      <c r="B605"/>
      <c r="C605"/>
      <c r="D60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/>
      <c r="Q605"/>
      <c r="R605"/>
      <c r="AA605"/>
    </row>
    <row r="606" spans="1:27" x14ac:dyDescent="0.25">
      <c r="A606"/>
      <c r="B606"/>
      <c r="C606"/>
      <c r="D60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/>
      <c r="Q606"/>
      <c r="R606"/>
      <c r="AA606"/>
    </row>
    <row r="607" spans="1:27" x14ac:dyDescent="0.25">
      <c r="A607"/>
      <c r="B607"/>
      <c r="C607"/>
      <c r="D607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/>
      <c r="Q607"/>
      <c r="R607"/>
      <c r="AA607"/>
    </row>
    <row r="608" spans="1:27" x14ac:dyDescent="0.25">
      <c r="A608"/>
      <c r="B608"/>
      <c r="C608"/>
      <c r="D608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/>
      <c r="Q608"/>
      <c r="R608"/>
      <c r="AA608"/>
    </row>
    <row r="609" spans="1:27" x14ac:dyDescent="0.25">
      <c r="A609"/>
      <c r="B609"/>
      <c r="C609"/>
      <c r="D609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/>
      <c r="Q609"/>
      <c r="R609"/>
      <c r="AA609"/>
    </row>
    <row r="610" spans="1:27" x14ac:dyDescent="0.25">
      <c r="A610"/>
      <c r="B610"/>
      <c r="C610"/>
      <c r="D610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/>
      <c r="Q610"/>
      <c r="R610"/>
      <c r="AA610"/>
    </row>
    <row r="611" spans="1:27" x14ac:dyDescent="0.25">
      <c r="A611"/>
      <c r="B611"/>
      <c r="C611"/>
      <c r="D61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/>
      <c r="Q611"/>
      <c r="R611"/>
      <c r="AA611"/>
    </row>
    <row r="612" spans="1:27" x14ac:dyDescent="0.25">
      <c r="A612"/>
      <c r="B612"/>
      <c r="C612"/>
      <c r="D61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/>
      <c r="Q612"/>
      <c r="R612"/>
      <c r="AA612"/>
    </row>
    <row r="613" spans="1:27" x14ac:dyDescent="0.25">
      <c r="A613"/>
      <c r="B613"/>
      <c r="C613"/>
      <c r="D61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/>
      <c r="Q613"/>
      <c r="R613"/>
      <c r="AA613"/>
    </row>
    <row r="614" spans="1:27" x14ac:dyDescent="0.25">
      <c r="AA614"/>
    </row>
    <row r="615" spans="1:27" x14ac:dyDescent="0.25">
      <c r="AA615"/>
    </row>
  </sheetData>
  <mergeCells count="5">
    <mergeCell ref="Y2:AL2"/>
    <mergeCell ref="A1:R2"/>
    <mergeCell ref="T1:V2"/>
    <mergeCell ref="K6:M6"/>
    <mergeCell ref="K55:M55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5"/>
  <sheetViews>
    <sheetView tabSelected="1" zoomScale="75" zoomScaleNormal="75" workbookViewId="0">
      <selection activeCell="Z38" sqref="Z38"/>
    </sheetView>
  </sheetViews>
  <sheetFormatPr defaultRowHeight="15" x14ac:dyDescent="0.25"/>
  <cols>
    <col min="1" max="1" width="12.140625" style="2" customWidth="1"/>
    <col min="2" max="2" width="16.28515625" style="2" customWidth="1"/>
    <col min="3" max="3" width="18" style="2" customWidth="1"/>
    <col min="4" max="4" width="20.5703125" style="2" customWidth="1"/>
    <col min="5" max="5" width="12.85546875" style="14" customWidth="1"/>
    <col min="6" max="7" width="7.7109375" style="3" customWidth="1"/>
    <col min="8" max="8" width="7.85546875" style="3" customWidth="1"/>
    <col min="9" max="15" width="7.7109375" style="3" customWidth="1"/>
    <col min="16" max="16" width="7.85546875" style="2" customWidth="1"/>
    <col min="17" max="17" width="7.7109375" style="2" customWidth="1"/>
    <col min="18" max="18" width="7.85546875" style="2" customWidth="1"/>
    <col min="19" max="19" width="12.140625" customWidth="1"/>
    <col min="20" max="20" width="18.140625" customWidth="1"/>
    <col min="21" max="21" width="22" customWidth="1"/>
    <col min="22" max="22" width="17.5703125" customWidth="1"/>
    <col min="23" max="23" width="15.140625" customWidth="1"/>
    <col min="24" max="24" width="14.7109375" customWidth="1"/>
    <col min="25" max="25" width="16.85546875" customWidth="1"/>
    <col min="26" max="26" width="19.85546875" customWidth="1"/>
    <col min="27" max="27" width="17.42578125" style="36" customWidth="1"/>
    <col min="28" max="28" width="17" customWidth="1"/>
    <col min="29" max="29" width="19.42578125" customWidth="1"/>
    <col min="30" max="30" width="15.42578125" customWidth="1"/>
    <col min="31" max="31" width="20.5703125" customWidth="1"/>
    <col min="32" max="32" width="16" customWidth="1"/>
    <col min="33" max="33" width="19" customWidth="1"/>
    <col min="34" max="34" width="16.42578125" customWidth="1"/>
    <col min="35" max="35" width="19.42578125" customWidth="1"/>
    <col min="36" max="36" width="16.28515625" customWidth="1"/>
    <col min="37" max="37" width="18.140625" customWidth="1"/>
    <col min="38" max="38" width="16.85546875" customWidth="1"/>
  </cols>
  <sheetData>
    <row r="1" spans="1:38" ht="15" customHeight="1" x14ac:dyDescent="0.25">
      <c r="A1" s="184" t="s">
        <v>142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6"/>
      <c r="T1" s="190" t="s">
        <v>141</v>
      </c>
      <c r="U1" s="191"/>
      <c r="V1" s="192"/>
      <c r="AA1"/>
    </row>
    <row r="2" spans="1:38" ht="15.75" customHeight="1" x14ac:dyDescent="0.25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9"/>
      <c r="T2" s="193"/>
      <c r="U2" s="194"/>
      <c r="V2" s="195"/>
      <c r="Y2" s="183" t="s">
        <v>225</v>
      </c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</row>
    <row r="3" spans="1:38" ht="14.45" x14ac:dyDescent="0.3">
      <c r="A3" s="1" t="s">
        <v>0</v>
      </c>
      <c r="B3" s="1" t="s">
        <v>14</v>
      </c>
      <c r="C3" s="1" t="s">
        <v>144</v>
      </c>
      <c r="D3" s="1"/>
      <c r="E3" s="15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15</v>
      </c>
      <c r="Q3" s="6" t="s">
        <v>16</v>
      </c>
      <c r="R3" s="6" t="s">
        <v>17</v>
      </c>
      <c r="T3" s="6" t="s">
        <v>29</v>
      </c>
      <c r="U3" s="6" t="s">
        <v>28</v>
      </c>
      <c r="V3" s="6" t="s">
        <v>28</v>
      </c>
      <c r="W3" s="44" t="s">
        <v>32</v>
      </c>
      <c r="Y3" s="9" t="s">
        <v>168</v>
      </c>
      <c r="Z3" s="139" t="s">
        <v>145</v>
      </c>
      <c r="AA3" s="6" t="s">
        <v>168</v>
      </c>
      <c r="AB3" s="110" t="s">
        <v>146</v>
      </c>
      <c r="AC3" s="9" t="s">
        <v>168</v>
      </c>
      <c r="AD3" s="139" t="s">
        <v>147</v>
      </c>
      <c r="AE3" s="6" t="s">
        <v>168</v>
      </c>
      <c r="AF3" s="110" t="s">
        <v>148</v>
      </c>
      <c r="AG3" s="9" t="s">
        <v>168</v>
      </c>
      <c r="AH3" s="139" t="s">
        <v>149</v>
      </c>
      <c r="AI3" s="6" t="s">
        <v>168</v>
      </c>
      <c r="AJ3" s="110" t="s">
        <v>153</v>
      </c>
      <c r="AK3" s="9" t="s">
        <v>168</v>
      </c>
      <c r="AL3" s="139" t="s">
        <v>150</v>
      </c>
    </row>
    <row r="4" spans="1:38" ht="14.45" x14ac:dyDescent="0.3">
      <c r="A4" s="1"/>
      <c r="B4" s="1"/>
      <c r="C4" s="1"/>
      <c r="D4" s="1"/>
      <c r="E4" s="15"/>
      <c r="F4" s="7">
        <v>0.5</v>
      </c>
      <c r="G4" s="7">
        <v>1.25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7">
        <v>7</v>
      </c>
      <c r="N4" s="7">
        <v>8</v>
      </c>
      <c r="O4" s="7">
        <v>9</v>
      </c>
      <c r="P4" s="8">
        <v>0.04</v>
      </c>
      <c r="Q4" s="8">
        <v>0.1</v>
      </c>
      <c r="R4" s="8">
        <v>0.1</v>
      </c>
      <c r="S4" s="53" t="s">
        <v>25</v>
      </c>
      <c r="T4" s="1"/>
      <c r="U4" s="1" t="s">
        <v>24</v>
      </c>
      <c r="V4" s="31" t="s">
        <v>212</v>
      </c>
      <c r="W4" s="45" t="s">
        <v>33</v>
      </c>
      <c r="Y4" s="134" t="s">
        <v>163</v>
      </c>
      <c r="Z4" s="135">
        <f>SUM(E49+X76)</f>
        <v>94755.839999999982</v>
      </c>
      <c r="AA4" s="133" t="s">
        <v>163</v>
      </c>
      <c r="AB4" s="115">
        <f>SUM(E49+X76)</f>
        <v>94755.839999999982</v>
      </c>
      <c r="AC4" s="144" t="s">
        <v>163</v>
      </c>
      <c r="AD4" s="141">
        <f>SUM(E49+X76)</f>
        <v>94755.839999999982</v>
      </c>
      <c r="AE4" s="133" t="s">
        <v>230</v>
      </c>
      <c r="AF4" s="115">
        <f>SUM(E49*2+X76*2)</f>
        <v>189511.67999999996</v>
      </c>
      <c r="AG4" s="144" t="s">
        <v>175</v>
      </c>
      <c r="AH4" s="141">
        <f>SUM(E49*3+X76*3)</f>
        <v>284267.51999999996</v>
      </c>
      <c r="AI4" s="133" t="s">
        <v>175</v>
      </c>
      <c r="AJ4" s="115">
        <f>SUM(E49*3+X76*3)</f>
        <v>284267.51999999996</v>
      </c>
      <c r="AK4" s="144" t="s">
        <v>175</v>
      </c>
      <c r="AL4" s="141">
        <f>SUM(E49*3+X76*3)</f>
        <v>284267.51999999996</v>
      </c>
    </row>
    <row r="5" spans="1:38" ht="14.45" x14ac:dyDescent="0.3">
      <c r="A5" s="117" t="s">
        <v>204</v>
      </c>
      <c r="B5" s="1"/>
      <c r="C5" s="1"/>
      <c r="D5" s="1"/>
      <c r="E5" s="15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48"/>
      <c r="T5" s="1"/>
      <c r="U5" s="1"/>
      <c r="V5" s="31"/>
      <c r="W5" s="45"/>
      <c r="Y5" s="134" t="s">
        <v>226</v>
      </c>
      <c r="Z5" s="135">
        <f>SUM(E46+X73)</f>
        <v>82911.359999999986</v>
      </c>
      <c r="AA5" s="109" t="s">
        <v>228</v>
      </c>
      <c r="AB5" s="108">
        <f>SUM(E47+X74)</f>
        <v>86859.520000000004</v>
      </c>
      <c r="AC5" s="134" t="s">
        <v>229</v>
      </c>
      <c r="AD5" s="142">
        <f>SUM(E48+X75)</f>
        <v>90807.680000000008</v>
      </c>
      <c r="AE5" s="109" t="s">
        <v>229</v>
      </c>
      <c r="AF5" s="108">
        <f>SUM(E48+X75)</f>
        <v>90807.680000000008</v>
      </c>
      <c r="AG5" s="134"/>
      <c r="AH5" s="142"/>
      <c r="AI5" s="109"/>
      <c r="AJ5" s="108"/>
      <c r="AK5" s="134"/>
      <c r="AL5" s="142"/>
    </row>
    <row r="6" spans="1:38" ht="14.45" x14ac:dyDescent="0.3">
      <c r="A6" s="21">
        <v>15</v>
      </c>
      <c r="B6" s="34">
        <f t="shared" ref="B6:B49" si="0">(A6)*1.5</f>
        <v>22.5</v>
      </c>
      <c r="C6" s="34">
        <f>(A6)*2808</f>
        <v>42120</v>
      </c>
      <c r="D6" s="34"/>
      <c r="E6" s="37">
        <f t="shared" ref="E6:E16" si="1">SUM(C6:D6)</f>
        <v>42120</v>
      </c>
      <c r="F6" s="32"/>
      <c r="G6" s="32"/>
      <c r="H6" s="32"/>
      <c r="I6" s="32"/>
      <c r="J6" s="32"/>
      <c r="K6" s="196" t="s">
        <v>31</v>
      </c>
      <c r="L6" s="197"/>
      <c r="M6" s="198"/>
      <c r="N6" s="32"/>
      <c r="O6" s="32"/>
      <c r="P6" s="6"/>
      <c r="Q6" s="6"/>
      <c r="R6" s="6"/>
      <c r="S6" s="48">
        <v>9</v>
      </c>
      <c r="T6" s="129" t="s">
        <v>214</v>
      </c>
      <c r="U6" s="118">
        <f>SUM(E55)</f>
        <v>40560</v>
      </c>
      <c r="V6" s="130">
        <f>SUM(E65)</f>
        <v>64896</v>
      </c>
      <c r="W6" s="46">
        <v>575</v>
      </c>
      <c r="Y6" s="134" t="s">
        <v>227</v>
      </c>
      <c r="Z6" s="135">
        <f>SUM(E45+X72)</f>
        <v>78963.200000000012</v>
      </c>
      <c r="AA6" s="109" t="s">
        <v>226</v>
      </c>
      <c r="AB6" s="108">
        <f>SUM(E46+X73)</f>
        <v>82911.359999999986</v>
      </c>
      <c r="AC6" s="134" t="s">
        <v>228</v>
      </c>
      <c r="AD6" s="142">
        <f>SUM(E47+X74)</f>
        <v>86859.520000000004</v>
      </c>
      <c r="AE6" s="109"/>
      <c r="AF6" s="108"/>
      <c r="AG6" s="134"/>
      <c r="AH6" s="142"/>
      <c r="AI6" s="109"/>
      <c r="AJ6" s="108"/>
      <c r="AK6" s="134"/>
      <c r="AL6" s="142"/>
    </row>
    <row r="7" spans="1:38" ht="14.45" x14ac:dyDescent="0.3">
      <c r="A7" s="34">
        <f>(A6)+(F4)</f>
        <v>15.5</v>
      </c>
      <c r="B7" s="34">
        <f t="shared" si="0"/>
        <v>23.25</v>
      </c>
      <c r="C7" s="34">
        <f t="shared" ref="C7:C16" si="2">(A7)*2808</f>
        <v>43524</v>
      </c>
      <c r="D7" s="34"/>
      <c r="E7" s="37">
        <f t="shared" si="1"/>
        <v>43524</v>
      </c>
      <c r="F7" s="32" t="s">
        <v>18</v>
      </c>
      <c r="G7" s="32"/>
      <c r="H7" s="32"/>
      <c r="I7" s="32"/>
      <c r="J7" s="32"/>
      <c r="K7" s="32"/>
      <c r="L7" s="32"/>
      <c r="M7" s="32"/>
      <c r="N7" s="32"/>
      <c r="O7" s="32"/>
      <c r="P7" s="6"/>
      <c r="Q7" s="6"/>
      <c r="R7" s="6"/>
      <c r="S7" s="48">
        <v>3</v>
      </c>
      <c r="T7" s="131" t="s">
        <v>211</v>
      </c>
      <c r="U7" s="122">
        <f>(E55*0.1)+E55</f>
        <v>44616</v>
      </c>
      <c r="V7" s="122">
        <f>(E65*0.1)+E65</f>
        <v>71385.600000000006</v>
      </c>
      <c r="W7" s="46">
        <v>575</v>
      </c>
      <c r="Y7" s="134" t="s">
        <v>165</v>
      </c>
      <c r="Z7" s="135">
        <f>SUM(E33+X56)</f>
        <v>67551.839999999997</v>
      </c>
      <c r="AA7" s="109" t="s">
        <v>170</v>
      </c>
      <c r="AB7" s="108">
        <f>SUM(E33+X57)</f>
        <v>67925.759999999995</v>
      </c>
      <c r="AC7" s="134" t="s">
        <v>176</v>
      </c>
      <c r="AD7" s="142">
        <f>SUM(E34+X58)</f>
        <v>72595.199999999997</v>
      </c>
      <c r="AE7" s="109" t="s">
        <v>181</v>
      </c>
      <c r="AF7" s="108">
        <f>SUM(E35+X59)</f>
        <v>76224.960000000006</v>
      </c>
      <c r="AG7" s="134" t="s">
        <v>184</v>
      </c>
      <c r="AH7" s="142">
        <f>SUM(E36+X60)</f>
        <v>79854.720000000001</v>
      </c>
      <c r="AI7" s="109" t="s">
        <v>192</v>
      </c>
      <c r="AJ7" s="108">
        <f>SUM(E37+X61)</f>
        <v>83484.479999999996</v>
      </c>
      <c r="AK7" s="134" t="s">
        <v>195</v>
      </c>
      <c r="AL7" s="142">
        <f>SUM(E38+X62)</f>
        <v>87114.240000000005</v>
      </c>
    </row>
    <row r="8" spans="1:38" ht="14.45" x14ac:dyDescent="0.3">
      <c r="A8" s="34">
        <f>(A6)+(G4)</f>
        <v>16.25</v>
      </c>
      <c r="B8" s="34">
        <f t="shared" si="0"/>
        <v>24.375</v>
      </c>
      <c r="C8" s="34">
        <f t="shared" si="2"/>
        <v>45630</v>
      </c>
      <c r="D8" s="34"/>
      <c r="E8" s="37">
        <f t="shared" si="1"/>
        <v>45630</v>
      </c>
      <c r="F8" s="32"/>
      <c r="G8" s="32" t="s">
        <v>18</v>
      </c>
      <c r="H8" s="32"/>
      <c r="I8" s="32"/>
      <c r="J8" s="32"/>
      <c r="K8" s="32"/>
      <c r="L8" s="32"/>
      <c r="M8" s="32"/>
      <c r="N8" s="32"/>
      <c r="O8" s="32"/>
      <c r="P8" s="6"/>
      <c r="Q8" s="6"/>
      <c r="R8" s="6"/>
      <c r="S8" s="48">
        <v>6</v>
      </c>
      <c r="T8" s="33" t="s">
        <v>207</v>
      </c>
      <c r="U8" s="34">
        <f>SUM(E6)</f>
        <v>42120</v>
      </c>
      <c r="V8" s="34">
        <f>SUM(E16)</f>
        <v>67392</v>
      </c>
      <c r="W8" s="46">
        <v>575</v>
      </c>
      <c r="Y8" s="134" t="s">
        <v>171</v>
      </c>
      <c r="Z8" s="135">
        <f>SUM(E31*2+X55*2)</f>
        <v>121551.35999999999</v>
      </c>
      <c r="AA8" s="109" t="s">
        <v>171</v>
      </c>
      <c r="AB8" s="108">
        <f>SUM(E31*2+X55*2)</f>
        <v>121551.35999999999</v>
      </c>
      <c r="AC8" s="134" t="s">
        <v>164</v>
      </c>
      <c r="AD8" s="142">
        <f>SUM(E32*2+X56*2)</f>
        <v>128701.43999999999</v>
      </c>
      <c r="AE8" s="109" t="s">
        <v>182</v>
      </c>
      <c r="AF8" s="108">
        <f>SUM(E33*2+X57*2)</f>
        <v>135851.51999999999</v>
      </c>
      <c r="AG8" s="134" t="s">
        <v>185</v>
      </c>
      <c r="AH8" s="142">
        <f>SUM(E34*2+X58*2)</f>
        <v>145190.39999999999</v>
      </c>
      <c r="AI8" s="109" t="s">
        <v>189</v>
      </c>
      <c r="AJ8" s="108">
        <f>SUM(E35*2+X59*2)</f>
        <v>152449.92000000001</v>
      </c>
      <c r="AK8" s="134" t="s">
        <v>193</v>
      </c>
      <c r="AL8" s="142">
        <f>SUM(E36*2+X60*2)</f>
        <v>159709.44</v>
      </c>
    </row>
    <row r="9" spans="1:38" ht="14.45" x14ac:dyDescent="0.3">
      <c r="A9" s="34">
        <f>(A6)+(H4)</f>
        <v>17</v>
      </c>
      <c r="B9" s="34">
        <f t="shared" si="0"/>
        <v>25.5</v>
      </c>
      <c r="C9" s="34">
        <f t="shared" si="2"/>
        <v>47736</v>
      </c>
      <c r="D9" s="34"/>
      <c r="E9" s="37">
        <f t="shared" si="1"/>
        <v>47736</v>
      </c>
      <c r="F9" s="32"/>
      <c r="G9" s="32"/>
      <c r="H9" s="32" t="s">
        <v>18</v>
      </c>
      <c r="I9" s="32"/>
      <c r="J9" s="32"/>
      <c r="K9" s="32"/>
      <c r="L9" s="32"/>
      <c r="M9" s="32"/>
      <c r="N9" s="32"/>
      <c r="O9" s="32"/>
      <c r="P9" s="6"/>
      <c r="Q9" s="6"/>
      <c r="R9" s="6"/>
      <c r="S9" s="48">
        <v>6</v>
      </c>
      <c r="T9" s="24" t="s">
        <v>19</v>
      </c>
      <c r="U9" s="5">
        <f>(E6*0.04)+E6</f>
        <v>43804.800000000003</v>
      </c>
      <c r="V9" s="5">
        <f>(E16*0.04)+E16</f>
        <v>70087.679999999993</v>
      </c>
      <c r="W9" s="46">
        <v>575</v>
      </c>
      <c r="Y9" s="134" t="s">
        <v>166</v>
      </c>
      <c r="Z9" s="135">
        <f>SUM(E21+X56)</f>
        <v>59296.319999999992</v>
      </c>
      <c r="AA9" s="109" t="s">
        <v>172</v>
      </c>
      <c r="AB9" s="108">
        <f>SUM(E22+X44)</f>
        <v>61967.360000000001</v>
      </c>
      <c r="AC9" s="134" t="s">
        <v>177</v>
      </c>
      <c r="AD9" s="142">
        <f>SUM(E23+X45)</f>
        <v>66227.199999999997</v>
      </c>
      <c r="AE9" s="109" t="s">
        <v>183</v>
      </c>
      <c r="AF9" s="108">
        <f>SUM(E24+X46)</f>
        <v>69538.559999999998</v>
      </c>
      <c r="AG9" s="134" t="s">
        <v>186</v>
      </c>
      <c r="AH9" s="142">
        <f>SUM(E25+X47)</f>
        <v>72849.919999999998</v>
      </c>
      <c r="AI9" s="109" t="s">
        <v>190</v>
      </c>
      <c r="AJ9" s="108">
        <f>SUM(E26+X48)</f>
        <v>76161.279999999999</v>
      </c>
      <c r="AK9" s="134" t="s">
        <v>194</v>
      </c>
      <c r="AL9" s="142">
        <f>SUM(E27+X49)</f>
        <v>79472.640000000014</v>
      </c>
    </row>
    <row r="10" spans="1:38" ht="14.45" x14ac:dyDescent="0.3">
      <c r="A10" s="34">
        <f>(A6)+(I4)</f>
        <v>18</v>
      </c>
      <c r="B10" s="34">
        <f t="shared" si="0"/>
        <v>27</v>
      </c>
      <c r="C10" s="34">
        <f t="shared" si="2"/>
        <v>50544</v>
      </c>
      <c r="D10" s="34"/>
      <c r="E10" s="37">
        <f t="shared" si="1"/>
        <v>50544</v>
      </c>
      <c r="F10" s="32"/>
      <c r="G10" s="32"/>
      <c r="H10" s="32"/>
      <c r="I10" s="32" t="s">
        <v>18</v>
      </c>
      <c r="J10" s="32"/>
      <c r="K10" s="32"/>
      <c r="L10" s="32"/>
      <c r="M10" s="32"/>
      <c r="N10" s="32"/>
      <c r="O10" s="32"/>
      <c r="P10" s="6"/>
      <c r="Q10" s="6"/>
      <c r="R10" s="6"/>
      <c r="S10" s="48">
        <v>3</v>
      </c>
      <c r="T10" s="23" t="s">
        <v>20</v>
      </c>
      <c r="U10" s="19">
        <f>(E6*0.14)+E6</f>
        <v>48016.800000000003</v>
      </c>
      <c r="V10" s="19">
        <f>(E16*0.14)+E16</f>
        <v>76826.880000000005</v>
      </c>
      <c r="W10" s="46">
        <v>575</v>
      </c>
      <c r="Y10" s="136" t="s">
        <v>167</v>
      </c>
      <c r="Z10" s="135">
        <f>SUM(E19*3+X41*3)</f>
        <v>158995.19999999998</v>
      </c>
      <c r="AA10" s="105" t="s">
        <v>173</v>
      </c>
      <c r="AB10" s="108">
        <f>SUM(E20*3+X42*3)</f>
        <v>166333.44</v>
      </c>
      <c r="AC10" s="136" t="s">
        <v>178</v>
      </c>
      <c r="AD10" s="142">
        <f>SUM(E21*3+X43*3)</f>
        <v>176117.75999999998</v>
      </c>
      <c r="AE10" s="105" t="s">
        <v>179</v>
      </c>
      <c r="AF10" s="108">
        <f>SUM(E22*3+X44*3)</f>
        <v>185902.07999999999</v>
      </c>
      <c r="AG10" s="136" t="s">
        <v>196</v>
      </c>
      <c r="AH10" s="142">
        <f>SUM(E23*3+X45*3)</f>
        <v>198681.60000000001</v>
      </c>
      <c r="AI10" s="105" t="s">
        <v>197</v>
      </c>
      <c r="AJ10" s="108">
        <f>SUM(E24*3+X46*3)</f>
        <v>208615.67999999999</v>
      </c>
      <c r="AK10" s="136" t="s">
        <v>198</v>
      </c>
      <c r="AL10" s="142">
        <f>SUM(E25*3+X47*3)</f>
        <v>218549.76000000001</v>
      </c>
    </row>
    <row r="11" spans="1:38" ht="14.45" x14ac:dyDescent="0.3">
      <c r="A11" s="34">
        <f>(A6)+(J4)</f>
        <v>19</v>
      </c>
      <c r="B11" s="34">
        <f t="shared" si="0"/>
        <v>28.5</v>
      </c>
      <c r="C11" s="34">
        <f t="shared" si="2"/>
        <v>53352</v>
      </c>
      <c r="D11" s="34"/>
      <c r="E11" s="37">
        <f t="shared" si="1"/>
        <v>53352</v>
      </c>
      <c r="F11" s="32"/>
      <c r="G11" s="32"/>
      <c r="H11" s="32"/>
      <c r="I11" s="32"/>
      <c r="J11" s="32" t="s">
        <v>18</v>
      </c>
      <c r="K11" s="32"/>
      <c r="L11" s="32"/>
      <c r="M11" s="32"/>
      <c r="N11" s="32"/>
      <c r="O11" s="32"/>
      <c r="P11" s="6"/>
      <c r="Q11" s="6"/>
      <c r="R11" s="6"/>
      <c r="S11" s="48">
        <v>3</v>
      </c>
      <c r="T11" s="22" t="s">
        <v>21</v>
      </c>
      <c r="U11" s="20">
        <f>(E6*0.24)+E6</f>
        <v>52228.800000000003</v>
      </c>
      <c r="V11" s="20">
        <f>(E16*0.24)+E16</f>
        <v>83566.080000000002</v>
      </c>
      <c r="W11" s="46">
        <v>575</v>
      </c>
      <c r="Y11" s="137" t="s">
        <v>231</v>
      </c>
      <c r="Z11" s="138">
        <f>SUM(E17*5+X39*5)</f>
        <v>232127.99999999997</v>
      </c>
      <c r="AA11" s="112" t="s">
        <v>236</v>
      </c>
      <c r="AB11" s="113">
        <f>SUM(E19*7+X41*7)</f>
        <v>370988.79999999999</v>
      </c>
      <c r="AC11" s="137" t="s">
        <v>174</v>
      </c>
      <c r="AD11" s="143">
        <f>SUM(E20*8+X42*8)</f>
        <v>443555.84000000003</v>
      </c>
      <c r="AE11" s="112" t="s">
        <v>180</v>
      </c>
      <c r="AF11" s="113">
        <f>SUM(E21*8+X43*8)</f>
        <v>469647.35999999999</v>
      </c>
      <c r="AG11" s="137" t="s">
        <v>188</v>
      </c>
      <c r="AH11" s="143">
        <f>SUM(E22*8+X44*8)</f>
        <v>495738.88</v>
      </c>
      <c r="AI11" s="112" t="s">
        <v>187</v>
      </c>
      <c r="AJ11" s="113">
        <f>SUM(E23*8+X45*8)</f>
        <v>529817.59999999998</v>
      </c>
      <c r="AK11" s="137" t="s">
        <v>191</v>
      </c>
      <c r="AL11" s="143">
        <f>SUM(E24*8+X46*8)</f>
        <v>556308.47999999998</v>
      </c>
    </row>
    <row r="12" spans="1:38" ht="14.45" x14ac:dyDescent="0.3">
      <c r="A12" s="34">
        <f>(A6)+(K4)</f>
        <v>20</v>
      </c>
      <c r="B12" s="34">
        <f t="shared" si="0"/>
        <v>30</v>
      </c>
      <c r="C12" s="34">
        <f t="shared" si="2"/>
        <v>56160</v>
      </c>
      <c r="D12" s="34"/>
      <c r="E12" s="37">
        <f t="shared" si="1"/>
        <v>56160</v>
      </c>
      <c r="F12" s="32"/>
      <c r="G12" s="32"/>
      <c r="H12" s="32"/>
      <c r="I12" s="32"/>
      <c r="J12" s="32"/>
      <c r="K12" s="32" t="s">
        <v>18</v>
      </c>
      <c r="L12" s="32"/>
      <c r="M12" s="32"/>
      <c r="N12" s="32"/>
      <c r="O12" s="32"/>
      <c r="P12" s="6"/>
      <c r="Q12" s="6"/>
      <c r="R12" s="6"/>
      <c r="S12" s="128">
        <f>SUM(S6:S11)</f>
        <v>30</v>
      </c>
      <c r="T12" s="6" t="s">
        <v>29</v>
      </c>
      <c r="U12" s="30" t="s">
        <v>22</v>
      </c>
      <c r="V12" s="30" t="s">
        <v>213</v>
      </c>
      <c r="W12" s="45" t="s">
        <v>34</v>
      </c>
      <c r="Y12" s="139" t="s">
        <v>156</v>
      </c>
      <c r="Z12" s="139" t="s">
        <v>145</v>
      </c>
      <c r="AA12" s="128" t="s">
        <v>156</v>
      </c>
      <c r="AB12" s="110" t="s">
        <v>146</v>
      </c>
      <c r="AC12" s="139" t="s">
        <v>156</v>
      </c>
      <c r="AD12" s="139" t="s">
        <v>147</v>
      </c>
      <c r="AE12" s="128" t="s">
        <v>156</v>
      </c>
      <c r="AF12" s="110" t="s">
        <v>148</v>
      </c>
      <c r="AG12" s="139" t="s">
        <v>156</v>
      </c>
      <c r="AH12" s="139" t="s">
        <v>149</v>
      </c>
      <c r="AI12" s="128" t="s">
        <v>156</v>
      </c>
      <c r="AJ12" s="110" t="s">
        <v>153</v>
      </c>
      <c r="AK12" s="139" t="s">
        <v>156</v>
      </c>
      <c r="AL12" s="139" t="s">
        <v>150</v>
      </c>
    </row>
    <row r="13" spans="1:38" ht="14.45" x14ac:dyDescent="0.3">
      <c r="A13" s="34">
        <f>(A6)+(L4)</f>
        <v>21</v>
      </c>
      <c r="B13" s="34">
        <f t="shared" si="0"/>
        <v>31.5</v>
      </c>
      <c r="C13" s="34">
        <f t="shared" si="2"/>
        <v>58968</v>
      </c>
      <c r="D13" s="34"/>
      <c r="E13" s="37">
        <f t="shared" si="1"/>
        <v>58968</v>
      </c>
      <c r="F13" s="32"/>
      <c r="G13" s="32"/>
      <c r="H13" s="32"/>
      <c r="I13" s="32"/>
      <c r="J13" s="32"/>
      <c r="K13" s="32"/>
      <c r="L13" s="32" t="s">
        <v>18</v>
      </c>
      <c r="M13" s="32"/>
      <c r="N13" s="32"/>
      <c r="O13" s="32"/>
      <c r="P13" s="6"/>
      <c r="Q13" s="6"/>
      <c r="R13" s="6"/>
      <c r="S13" s="49"/>
      <c r="T13" s="129" t="s">
        <v>214</v>
      </c>
      <c r="U13" s="118">
        <f t="shared" ref="U13:U18" si="3">SUM(U6*S6)</f>
        <v>365040</v>
      </c>
      <c r="V13" s="118">
        <f t="shared" ref="V13:V18" si="4">SUM(V6*S6)</f>
        <v>584064</v>
      </c>
      <c r="W13" s="46">
        <f t="shared" ref="W13:W18" si="5">SUM(W6*S6*12)</f>
        <v>62100</v>
      </c>
      <c r="Y13" s="140" t="s">
        <v>200</v>
      </c>
      <c r="Z13" s="141">
        <f>SUM(E66*3+X94*3)</f>
        <v>142164</v>
      </c>
      <c r="AA13" s="114" t="s">
        <v>215</v>
      </c>
      <c r="AB13" s="115">
        <f>SUM(E68*3+X96*3)</f>
        <v>162591</v>
      </c>
      <c r="AC13" s="140" t="s">
        <v>216</v>
      </c>
      <c r="AD13" s="141">
        <f>SUM(E69*3+X97*3)</f>
        <v>170095.2</v>
      </c>
      <c r="AE13" s="114" t="s">
        <v>217</v>
      </c>
      <c r="AF13" s="115">
        <f>SUM(E70*3+X98*3)</f>
        <v>180100.8</v>
      </c>
      <c r="AG13" s="140" t="s">
        <v>218</v>
      </c>
      <c r="AH13" s="141">
        <f>SUM(E71*3+X99*3)</f>
        <v>190106.4</v>
      </c>
      <c r="AI13" s="114" t="s">
        <v>220</v>
      </c>
      <c r="AJ13" s="115">
        <f>SUM(E72*3+X100*3)</f>
        <v>203280</v>
      </c>
      <c r="AK13" s="140" t="s">
        <v>222</v>
      </c>
      <c r="AL13" s="141">
        <f>SUM(E73*3+X101*3)</f>
        <v>213444</v>
      </c>
    </row>
    <row r="14" spans="1:38" ht="14.45" x14ac:dyDescent="0.3">
      <c r="A14" s="34">
        <f>(A6)+(M4)</f>
        <v>22</v>
      </c>
      <c r="B14" s="34">
        <f t="shared" si="0"/>
        <v>33</v>
      </c>
      <c r="C14" s="34">
        <f t="shared" si="2"/>
        <v>61776</v>
      </c>
      <c r="D14" s="34"/>
      <c r="E14" s="37">
        <f t="shared" si="1"/>
        <v>61776</v>
      </c>
      <c r="F14" s="32"/>
      <c r="G14" s="32"/>
      <c r="H14" s="32"/>
      <c r="I14" s="32"/>
      <c r="J14" s="32"/>
      <c r="K14" s="32"/>
      <c r="L14" s="32"/>
      <c r="M14" s="32" t="s">
        <v>18</v>
      </c>
      <c r="N14" s="32"/>
      <c r="O14" s="32"/>
      <c r="P14" s="6"/>
      <c r="Q14" s="6"/>
      <c r="R14" s="6"/>
      <c r="S14" s="49"/>
      <c r="T14" s="131" t="s">
        <v>211</v>
      </c>
      <c r="U14" s="122">
        <f t="shared" si="3"/>
        <v>133848</v>
      </c>
      <c r="V14" s="122">
        <f t="shared" si="4"/>
        <v>214156.80000000002</v>
      </c>
      <c r="W14" s="46">
        <f t="shared" si="5"/>
        <v>20700</v>
      </c>
      <c r="Y14" s="134" t="s">
        <v>232</v>
      </c>
      <c r="Z14" s="142">
        <f>SUM(E55*2+X80*2)+AD26</f>
        <v>198480</v>
      </c>
      <c r="AA14" s="116" t="s">
        <v>233</v>
      </c>
      <c r="AB14" s="108">
        <f>SUM(E57*4+X82*4)+AD27</f>
        <v>290680</v>
      </c>
      <c r="AC14" s="134" t="s">
        <v>234</v>
      </c>
      <c r="AD14" s="142">
        <f>SUM(E58*6+X83*6)+AD28</f>
        <v>365424</v>
      </c>
      <c r="AE14" s="116" t="s">
        <v>235</v>
      </c>
      <c r="AF14" s="108">
        <f>SUM(E59*8+X84*8)+AD29</f>
        <v>455328</v>
      </c>
      <c r="AG14" s="134" t="s">
        <v>219</v>
      </c>
      <c r="AH14" s="142">
        <f>SUM(E60*9+X85*9)</f>
        <v>518472</v>
      </c>
      <c r="AI14" s="116" t="s">
        <v>221</v>
      </c>
      <c r="AJ14" s="108">
        <f>SUM(E61*9+X86*9)</f>
        <v>554400</v>
      </c>
      <c r="AK14" s="134" t="s">
        <v>223</v>
      </c>
      <c r="AL14" s="142">
        <f>SUM(E62*9+X87*9)</f>
        <v>582120</v>
      </c>
    </row>
    <row r="15" spans="1:38" ht="14.45" x14ac:dyDescent="0.3">
      <c r="A15" s="34">
        <f>(A6)+(N4)</f>
        <v>23</v>
      </c>
      <c r="B15" s="34">
        <f t="shared" si="0"/>
        <v>34.5</v>
      </c>
      <c r="C15" s="34">
        <f t="shared" si="2"/>
        <v>64584</v>
      </c>
      <c r="D15" s="34"/>
      <c r="E15" s="37">
        <f t="shared" si="1"/>
        <v>64584</v>
      </c>
      <c r="F15" s="32"/>
      <c r="G15" s="32"/>
      <c r="H15" s="32"/>
      <c r="I15" s="32"/>
      <c r="J15" s="32"/>
      <c r="K15" s="32"/>
      <c r="L15" s="32"/>
      <c r="M15" s="32"/>
      <c r="N15" s="32" t="s">
        <v>18</v>
      </c>
      <c r="O15" s="32"/>
      <c r="P15" s="6"/>
      <c r="Q15" s="6"/>
      <c r="R15" s="6"/>
      <c r="S15" s="49"/>
      <c r="T15" s="33" t="s">
        <v>207</v>
      </c>
      <c r="U15" s="34">
        <f t="shared" si="3"/>
        <v>252720</v>
      </c>
      <c r="V15" s="34">
        <f t="shared" si="4"/>
        <v>404352</v>
      </c>
      <c r="W15" s="46">
        <f t="shared" si="5"/>
        <v>41400</v>
      </c>
      <c r="Y15" s="139" t="s">
        <v>169</v>
      </c>
      <c r="Z15" s="147">
        <f>SUM(Z4:Z11,Z13:Z14)</f>
        <v>1236797.1200000001</v>
      </c>
      <c r="AA15" s="128" t="s">
        <v>169</v>
      </c>
      <c r="AB15" s="146">
        <f>SUM(AB4:AB11,AB13:AB14)</f>
        <v>1506564.44</v>
      </c>
      <c r="AC15" s="139" t="s">
        <v>169</v>
      </c>
      <c r="AD15" s="147">
        <f>SUM(AD4:AD11,AD13:AD14)</f>
        <v>1695139.68</v>
      </c>
      <c r="AE15" s="128" t="s">
        <v>169</v>
      </c>
      <c r="AF15" s="146">
        <f>SUM(AF4:AF11,AF13:AF14)</f>
        <v>1852912.6399999999</v>
      </c>
      <c r="AG15" s="139" t="s">
        <v>169</v>
      </c>
      <c r="AH15" s="147">
        <f>SUM(AH4:AH11,AH13:AH14)</f>
        <v>1985161.44</v>
      </c>
      <c r="AI15" s="128" t="s">
        <v>169</v>
      </c>
      <c r="AJ15" s="146">
        <f>SUM(AJ4:AJ11,AJ13:AJ14)</f>
        <v>2092476.48</v>
      </c>
      <c r="AK15" s="139" t="s">
        <v>169</v>
      </c>
      <c r="AL15" s="147">
        <f>SUM(AL4:AL11,AL13:AL14)</f>
        <v>2180986.08</v>
      </c>
    </row>
    <row r="16" spans="1:38" ht="14.45" x14ac:dyDescent="0.3">
      <c r="A16" s="34">
        <f>(A6)+(O4)</f>
        <v>24</v>
      </c>
      <c r="B16" s="34">
        <f t="shared" si="0"/>
        <v>36</v>
      </c>
      <c r="C16" s="34">
        <f t="shared" si="2"/>
        <v>67392</v>
      </c>
      <c r="D16" s="34"/>
      <c r="E16" s="37">
        <f t="shared" si="1"/>
        <v>67392</v>
      </c>
      <c r="F16" s="38"/>
      <c r="G16" s="38"/>
      <c r="H16" s="38"/>
      <c r="I16" s="32"/>
      <c r="J16" s="32"/>
      <c r="K16" s="32"/>
      <c r="L16" s="32"/>
      <c r="M16" s="32"/>
      <c r="N16" s="32"/>
      <c r="O16" s="32" t="s">
        <v>18</v>
      </c>
      <c r="P16" s="6"/>
      <c r="Q16" s="6"/>
      <c r="R16" s="6"/>
      <c r="S16" s="49"/>
      <c r="T16" s="24" t="s">
        <v>19</v>
      </c>
      <c r="U16" s="5">
        <f t="shared" si="3"/>
        <v>262828.80000000005</v>
      </c>
      <c r="V16" s="5">
        <f t="shared" si="4"/>
        <v>420526.07999999996</v>
      </c>
      <c r="W16" s="46">
        <f t="shared" si="5"/>
        <v>41400</v>
      </c>
      <c r="Y16" s="157"/>
      <c r="Z16" s="158"/>
      <c r="AA16" s="157"/>
      <c r="AB16" s="158"/>
      <c r="AC16" s="157"/>
      <c r="AD16" s="158"/>
      <c r="AE16" s="157"/>
      <c r="AF16" s="158"/>
      <c r="AG16" s="157"/>
      <c r="AH16" s="158"/>
      <c r="AI16" s="157"/>
      <c r="AJ16" s="158"/>
      <c r="AK16" s="157"/>
      <c r="AL16" s="158"/>
    </row>
    <row r="17" spans="1:39" ht="14.45" x14ac:dyDescent="0.3">
      <c r="A17" s="5">
        <f t="shared" ref="A17:A27" si="6">(A6*0.04)+A6</f>
        <v>15.6</v>
      </c>
      <c r="B17" s="5">
        <f t="shared" si="0"/>
        <v>23.4</v>
      </c>
      <c r="C17" s="5">
        <f>(A17)*2808</f>
        <v>43804.799999999996</v>
      </c>
      <c r="D17" s="5"/>
      <c r="E17" s="16">
        <f t="shared" ref="E17:E49" si="7">SUM(C17,D17)</f>
        <v>43804.799999999996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 t="s">
        <v>18</v>
      </c>
      <c r="Q17" s="6"/>
      <c r="R17" s="6"/>
      <c r="S17" s="50"/>
      <c r="T17" s="23" t="s">
        <v>20</v>
      </c>
      <c r="U17" s="19">
        <f t="shared" si="3"/>
        <v>144050.40000000002</v>
      </c>
      <c r="V17" s="19">
        <f t="shared" si="4"/>
        <v>230480.64000000001</v>
      </c>
      <c r="W17" s="46">
        <f t="shared" si="5"/>
        <v>20700</v>
      </c>
      <c r="Y17" s="152" t="s">
        <v>201</v>
      </c>
      <c r="Z17" s="152" t="s">
        <v>145</v>
      </c>
      <c r="AA17" s="153" t="s">
        <v>201</v>
      </c>
      <c r="AB17" s="154" t="s">
        <v>146</v>
      </c>
      <c r="AC17" s="152" t="s">
        <v>201</v>
      </c>
      <c r="AD17" s="152" t="s">
        <v>147</v>
      </c>
      <c r="AE17" s="153" t="s">
        <v>201</v>
      </c>
      <c r="AF17" s="154" t="s">
        <v>148</v>
      </c>
      <c r="AG17" s="152" t="s">
        <v>201</v>
      </c>
      <c r="AH17" s="152" t="s">
        <v>149</v>
      </c>
      <c r="AI17" s="153" t="s">
        <v>201</v>
      </c>
      <c r="AJ17" s="154" t="s">
        <v>153</v>
      </c>
      <c r="AK17" s="152" t="s">
        <v>201</v>
      </c>
      <c r="AL17" s="152" t="s">
        <v>150</v>
      </c>
    </row>
    <row r="18" spans="1:39" ht="14.45" x14ac:dyDescent="0.3">
      <c r="A18" s="5">
        <f t="shared" si="6"/>
        <v>16.12</v>
      </c>
      <c r="B18" s="5">
        <f t="shared" si="0"/>
        <v>24.18</v>
      </c>
      <c r="C18" s="5">
        <f t="shared" ref="C18:C27" si="8">(A18)*2808</f>
        <v>45264.960000000006</v>
      </c>
      <c r="D18" s="5"/>
      <c r="E18" s="16">
        <f t="shared" si="7"/>
        <v>45264.960000000006</v>
      </c>
      <c r="F18" s="9" t="s">
        <v>18</v>
      </c>
      <c r="G18" s="9"/>
      <c r="H18" s="9"/>
      <c r="I18" s="9"/>
      <c r="J18" s="9"/>
      <c r="K18" s="9"/>
      <c r="L18" s="9"/>
      <c r="M18" s="9"/>
      <c r="N18" s="9"/>
      <c r="O18" s="9"/>
      <c r="P18" s="9" t="s">
        <v>18</v>
      </c>
      <c r="Q18" s="6"/>
      <c r="R18" s="6"/>
      <c r="S18" s="51"/>
      <c r="T18" s="22" t="s">
        <v>21</v>
      </c>
      <c r="U18" s="20">
        <f t="shared" si="3"/>
        <v>156686.40000000002</v>
      </c>
      <c r="V18" s="20">
        <f t="shared" si="4"/>
        <v>250698.23999999999</v>
      </c>
      <c r="W18" s="46">
        <f t="shared" si="5"/>
        <v>20700</v>
      </c>
      <c r="Y18" s="144" t="s">
        <v>245</v>
      </c>
      <c r="Z18" s="141">
        <v>27000</v>
      </c>
      <c r="AA18" s="133" t="s">
        <v>246</v>
      </c>
      <c r="AB18" s="115">
        <v>27000</v>
      </c>
      <c r="AC18" s="144" t="s">
        <v>245</v>
      </c>
      <c r="AD18" s="141">
        <v>27000</v>
      </c>
      <c r="AE18" s="133" t="s">
        <v>246</v>
      </c>
      <c r="AF18" s="115">
        <v>27000</v>
      </c>
      <c r="AG18" s="144" t="s">
        <v>245</v>
      </c>
      <c r="AH18" s="141">
        <v>27000</v>
      </c>
      <c r="AI18" s="133" t="s">
        <v>246</v>
      </c>
      <c r="AJ18" s="115">
        <v>27000</v>
      </c>
      <c r="AK18" s="144" t="s">
        <v>245</v>
      </c>
      <c r="AL18" s="141">
        <v>27000</v>
      </c>
      <c r="AM18" t="s">
        <v>224</v>
      </c>
    </row>
    <row r="19" spans="1:39" ht="14.45" x14ac:dyDescent="0.3">
      <c r="A19" s="5">
        <f t="shared" si="6"/>
        <v>16.899999999999999</v>
      </c>
      <c r="B19" s="5">
        <f t="shared" si="0"/>
        <v>25.349999999999998</v>
      </c>
      <c r="C19" s="5">
        <f t="shared" si="8"/>
        <v>47455.199999999997</v>
      </c>
      <c r="D19" s="5"/>
      <c r="E19" s="16">
        <f t="shared" si="7"/>
        <v>47455.199999999997</v>
      </c>
      <c r="F19" s="9"/>
      <c r="G19" s="9" t="s">
        <v>18</v>
      </c>
      <c r="H19" s="9"/>
      <c r="I19" s="9"/>
      <c r="J19" s="9"/>
      <c r="K19" s="9"/>
      <c r="L19" s="9"/>
      <c r="M19" s="9"/>
      <c r="N19" s="9"/>
      <c r="O19" s="9"/>
      <c r="P19" s="9" t="s">
        <v>18</v>
      </c>
      <c r="Q19" s="6"/>
      <c r="R19" s="6"/>
      <c r="S19" s="51"/>
      <c r="T19" s="1" t="s">
        <v>143</v>
      </c>
      <c r="U19" s="4">
        <v>371000</v>
      </c>
      <c r="V19" s="4">
        <v>371000</v>
      </c>
      <c r="W19" s="46"/>
      <c r="Y19" s="134" t="s">
        <v>202</v>
      </c>
      <c r="Z19" s="142">
        <v>75000</v>
      </c>
      <c r="AA19" s="111" t="s">
        <v>202</v>
      </c>
      <c r="AB19" s="108">
        <f>SUM(Z19*0.04+Z19)</f>
        <v>78000</v>
      </c>
      <c r="AC19" s="134" t="s">
        <v>202</v>
      </c>
      <c r="AD19" s="142">
        <f>SUM(AB19*0.04+AB19)</f>
        <v>81120</v>
      </c>
      <c r="AE19" s="111" t="s">
        <v>202</v>
      </c>
      <c r="AF19" s="108">
        <f>SUM(AD19*0.04+AD19)</f>
        <v>84364.800000000003</v>
      </c>
      <c r="AG19" s="134" t="s">
        <v>202</v>
      </c>
      <c r="AH19" s="142">
        <f>SUM(AF19*0.04+AF19)</f>
        <v>87739.392000000007</v>
      </c>
      <c r="AI19" s="111" t="s">
        <v>202</v>
      </c>
      <c r="AJ19" s="108">
        <f>SUM(AH19*0.04+AH19)</f>
        <v>91248.967680000002</v>
      </c>
      <c r="AK19" s="134" t="s">
        <v>202</v>
      </c>
      <c r="AL19" s="142">
        <f>SUM(AJ19*0.04+AJ19)</f>
        <v>94898.926387200001</v>
      </c>
      <c r="AM19" t="s">
        <v>203</v>
      </c>
    </row>
    <row r="20" spans="1:39" ht="14.45" x14ac:dyDescent="0.3">
      <c r="A20" s="5">
        <f t="shared" si="6"/>
        <v>17.68</v>
      </c>
      <c r="B20" s="5">
        <f t="shared" si="0"/>
        <v>26.52</v>
      </c>
      <c r="C20" s="5">
        <f t="shared" si="8"/>
        <v>49645.440000000002</v>
      </c>
      <c r="D20" s="5"/>
      <c r="E20" s="16">
        <f t="shared" si="7"/>
        <v>49645.440000000002</v>
      </c>
      <c r="F20" s="9"/>
      <c r="G20" s="9"/>
      <c r="H20" s="9" t="s">
        <v>18</v>
      </c>
      <c r="I20" s="9"/>
      <c r="J20" s="9"/>
      <c r="K20" s="9"/>
      <c r="L20" s="9"/>
      <c r="M20" s="9"/>
      <c r="N20" s="9"/>
      <c r="O20" s="9"/>
      <c r="P20" s="9" t="s">
        <v>18</v>
      </c>
      <c r="Q20" s="6"/>
      <c r="R20" s="6"/>
      <c r="S20" s="49"/>
      <c r="T20" s="1" t="s">
        <v>27</v>
      </c>
      <c r="U20" s="4">
        <v>27000</v>
      </c>
      <c r="V20" s="4">
        <v>27000</v>
      </c>
      <c r="W20" s="46"/>
      <c r="Y20" s="137" t="s">
        <v>36</v>
      </c>
      <c r="Z20" s="143">
        <v>100000</v>
      </c>
      <c r="AA20" s="145" t="s">
        <v>36</v>
      </c>
      <c r="AB20" s="108">
        <f>SUM(Z20*0.04+Z20)</f>
        <v>104000</v>
      </c>
      <c r="AC20" s="137" t="s">
        <v>36</v>
      </c>
      <c r="AD20" s="142">
        <f>SUM(AB20*0.04+AB20)</f>
        <v>108160</v>
      </c>
      <c r="AE20" s="145" t="s">
        <v>36</v>
      </c>
      <c r="AF20" s="108">
        <f>SUM(AD20*0.04+AD20)</f>
        <v>112486.39999999999</v>
      </c>
      <c r="AG20" s="137" t="s">
        <v>36</v>
      </c>
      <c r="AH20" s="142">
        <f>SUM(AF20*0.04+AF20)</f>
        <v>116985.856</v>
      </c>
      <c r="AI20" s="145" t="s">
        <v>36</v>
      </c>
      <c r="AJ20" s="108">
        <f>SUM(AH20*0.04+AH20)</f>
        <v>121665.29024</v>
      </c>
      <c r="AK20" s="137" t="s">
        <v>36</v>
      </c>
      <c r="AL20" s="142">
        <f>SUM(AJ20*0.04+AJ20)</f>
        <v>126531.90184960001</v>
      </c>
      <c r="AM20" t="s">
        <v>203</v>
      </c>
    </row>
    <row r="21" spans="1:39" ht="14.45" x14ac:dyDescent="0.3">
      <c r="A21" s="5">
        <f t="shared" si="6"/>
        <v>18.72</v>
      </c>
      <c r="B21" s="5">
        <f t="shared" si="0"/>
        <v>28.08</v>
      </c>
      <c r="C21" s="5">
        <f t="shared" si="8"/>
        <v>52565.759999999995</v>
      </c>
      <c r="D21" s="5"/>
      <c r="E21" s="16">
        <f t="shared" si="7"/>
        <v>52565.759999999995</v>
      </c>
      <c r="F21" s="9"/>
      <c r="G21" s="9"/>
      <c r="H21" s="9"/>
      <c r="I21" s="9" t="s">
        <v>18</v>
      </c>
      <c r="J21" s="9"/>
      <c r="K21" s="9"/>
      <c r="L21" s="9"/>
      <c r="M21" s="9"/>
      <c r="N21" s="9"/>
      <c r="O21" s="9"/>
      <c r="P21" s="9" t="s">
        <v>18</v>
      </c>
      <c r="Q21" s="6"/>
      <c r="R21" s="6"/>
      <c r="S21" s="52">
        <v>1</v>
      </c>
      <c r="T21" s="1" t="s">
        <v>199</v>
      </c>
      <c r="U21" s="4">
        <v>75000</v>
      </c>
      <c r="V21" s="4">
        <v>100000</v>
      </c>
      <c r="W21" s="46">
        <f>SUM(S21*575*12)</f>
        <v>6900</v>
      </c>
      <c r="Y21" s="139" t="s">
        <v>169</v>
      </c>
      <c r="Z21" s="147">
        <f>SUM(Z18:Z20)</f>
        <v>202000</v>
      </c>
      <c r="AA21" s="128" t="s">
        <v>169</v>
      </c>
      <c r="AB21" s="146">
        <f>SUM(AB18:AB20)</f>
        <v>209000</v>
      </c>
      <c r="AC21" s="139" t="s">
        <v>169</v>
      </c>
      <c r="AD21" s="147">
        <f>SUM(AD18:AD20)</f>
        <v>216280</v>
      </c>
      <c r="AE21" s="128" t="s">
        <v>169</v>
      </c>
      <c r="AF21" s="146">
        <f>SUM(AF18:AF20)</f>
        <v>223851.2</v>
      </c>
      <c r="AG21" s="139" t="s">
        <v>169</v>
      </c>
      <c r="AH21" s="147">
        <f>SUM(AH18:AH20)</f>
        <v>231725.24800000002</v>
      </c>
      <c r="AI21" s="128" t="s">
        <v>169</v>
      </c>
      <c r="AJ21" s="146">
        <f>SUM(AJ18:AJ20)</f>
        <v>239914.25792</v>
      </c>
      <c r="AK21" s="139" t="s">
        <v>169</v>
      </c>
      <c r="AL21" s="147">
        <f>SUM(AL18:AL20)</f>
        <v>248430.82823680001</v>
      </c>
    </row>
    <row r="22" spans="1:39" ht="14.45" x14ac:dyDescent="0.3">
      <c r="A22" s="5">
        <f t="shared" si="6"/>
        <v>19.760000000000002</v>
      </c>
      <c r="B22" s="5">
        <f t="shared" si="0"/>
        <v>29.64</v>
      </c>
      <c r="C22" s="5">
        <f t="shared" si="8"/>
        <v>55486.080000000002</v>
      </c>
      <c r="D22" s="5"/>
      <c r="E22" s="16">
        <f t="shared" si="7"/>
        <v>55486.080000000002</v>
      </c>
      <c r="F22" s="9"/>
      <c r="G22" s="9"/>
      <c r="H22" s="9"/>
      <c r="I22" s="9"/>
      <c r="J22" s="9" t="s">
        <v>18</v>
      </c>
      <c r="K22" s="9"/>
      <c r="L22" s="9"/>
      <c r="M22" s="9"/>
      <c r="N22" s="9"/>
      <c r="O22" s="9"/>
      <c r="P22" s="9" t="s">
        <v>18</v>
      </c>
      <c r="Q22" s="6"/>
      <c r="R22" s="6"/>
      <c r="S22" s="132">
        <v>1</v>
      </c>
      <c r="T22" s="1" t="s">
        <v>26</v>
      </c>
      <c r="U22" s="4">
        <v>100000</v>
      </c>
      <c r="V22" s="4">
        <v>125000</v>
      </c>
      <c r="W22" s="46">
        <f>SUM(S22*575*12)</f>
        <v>6900</v>
      </c>
    </row>
    <row r="23" spans="1:39" ht="14.45" x14ac:dyDescent="0.3">
      <c r="A23" s="5">
        <f t="shared" si="6"/>
        <v>20.8</v>
      </c>
      <c r="B23" s="5">
        <f t="shared" si="0"/>
        <v>31.200000000000003</v>
      </c>
      <c r="C23" s="5">
        <f t="shared" si="8"/>
        <v>58406.400000000001</v>
      </c>
      <c r="D23" s="5"/>
      <c r="E23" s="16">
        <f t="shared" si="7"/>
        <v>58406.400000000001</v>
      </c>
      <c r="F23" s="9"/>
      <c r="G23" s="9"/>
      <c r="H23" s="9"/>
      <c r="I23" s="9"/>
      <c r="J23" s="9"/>
      <c r="K23" s="9" t="s">
        <v>18</v>
      </c>
      <c r="L23" s="9"/>
      <c r="M23" s="9"/>
      <c r="N23" s="9"/>
      <c r="O23" s="9"/>
      <c r="P23" s="9" t="s">
        <v>18</v>
      </c>
      <c r="Q23" s="6"/>
      <c r="R23" s="6"/>
      <c r="S23" s="25">
        <f>SUM(S12+S20+S21+S22)</f>
        <v>32</v>
      </c>
      <c r="T23" s="26" t="s">
        <v>23</v>
      </c>
      <c r="U23" s="27">
        <f>SUM(U13:U22)</f>
        <v>1888173.6</v>
      </c>
      <c r="V23" s="27">
        <f>SUM(V13:V22)</f>
        <v>2727277.76</v>
      </c>
      <c r="W23" s="47">
        <f>SUM(W13:W22)</f>
        <v>220800</v>
      </c>
    </row>
    <row r="24" spans="1:39" ht="14.45" x14ac:dyDescent="0.3">
      <c r="A24" s="5">
        <f t="shared" si="6"/>
        <v>21.84</v>
      </c>
      <c r="B24" s="5">
        <f t="shared" si="0"/>
        <v>32.76</v>
      </c>
      <c r="C24" s="5">
        <f t="shared" si="8"/>
        <v>61326.720000000001</v>
      </c>
      <c r="D24" s="5"/>
      <c r="E24" s="16">
        <f t="shared" si="7"/>
        <v>61326.720000000001</v>
      </c>
      <c r="F24" s="9"/>
      <c r="G24" s="9"/>
      <c r="H24" s="9"/>
      <c r="I24" s="9"/>
      <c r="J24" s="10"/>
      <c r="K24" s="9"/>
      <c r="L24" s="9" t="s">
        <v>18</v>
      </c>
      <c r="M24" s="9"/>
      <c r="N24" s="9"/>
      <c r="O24" s="9"/>
      <c r="P24" s="9" t="s">
        <v>18</v>
      </c>
      <c r="Q24" s="6"/>
      <c r="R24" s="6"/>
      <c r="S24" s="25"/>
    </row>
    <row r="25" spans="1:39" ht="14.45" x14ac:dyDescent="0.3">
      <c r="A25" s="5">
        <f t="shared" si="6"/>
        <v>22.88</v>
      </c>
      <c r="B25" s="5">
        <f t="shared" si="0"/>
        <v>34.32</v>
      </c>
      <c r="C25" s="5">
        <f t="shared" si="8"/>
        <v>64247.039999999994</v>
      </c>
      <c r="D25" s="5"/>
      <c r="E25" s="16">
        <f t="shared" si="7"/>
        <v>64247.039999999994</v>
      </c>
      <c r="F25" s="9"/>
      <c r="G25" s="9"/>
      <c r="H25" s="9"/>
      <c r="I25" s="9"/>
      <c r="J25" s="10"/>
      <c r="K25" s="9"/>
      <c r="L25" s="9"/>
      <c r="M25" s="9" t="s">
        <v>18</v>
      </c>
      <c r="N25" s="9"/>
      <c r="O25" s="9"/>
      <c r="P25" s="9" t="s">
        <v>18</v>
      </c>
      <c r="Q25" s="6"/>
      <c r="R25" s="6"/>
      <c r="T25" s="35" t="s">
        <v>207</v>
      </c>
      <c r="U25" s="35" t="s">
        <v>37</v>
      </c>
      <c r="V25" s="35" t="s">
        <v>39</v>
      </c>
      <c r="W25" s="35" t="s">
        <v>30</v>
      </c>
      <c r="X25" s="39" t="s">
        <v>41</v>
      </c>
      <c r="AA25" s="132" t="s">
        <v>238</v>
      </c>
      <c r="AB25" s="132" t="s">
        <v>239</v>
      </c>
      <c r="AC25" s="132" t="s">
        <v>240</v>
      </c>
      <c r="AD25" s="132" t="s">
        <v>34</v>
      </c>
    </row>
    <row r="26" spans="1:39" ht="14.45" x14ac:dyDescent="0.3">
      <c r="A26" s="5">
        <f t="shared" si="6"/>
        <v>23.92</v>
      </c>
      <c r="B26" s="5">
        <f t="shared" si="0"/>
        <v>35.880000000000003</v>
      </c>
      <c r="C26" s="5">
        <f t="shared" si="8"/>
        <v>67167.360000000001</v>
      </c>
      <c r="D26" s="5"/>
      <c r="E26" s="16">
        <f t="shared" si="7"/>
        <v>67167.360000000001</v>
      </c>
      <c r="F26" s="9"/>
      <c r="G26" s="9"/>
      <c r="H26" s="9"/>
      <c r="I26" s="9"/>
      <c r="J26" s="9"/>
      <c r="K26" s="9"/>
      <c r="L26" s="9"/>
      <c r="M26" s="9"/>
      <c r="N26" s="9" t="s">
        <v>18</v>
      </c>
      <c r="O26" s="9"/>
      <c r="P26" s="9" t="s">
        <v>18</v>
      </c>
      <c r="Q26" s="6"/>
      <c r="R26" s="6"/>
      <c r="S26" s="28" t="s">
        <v>38</v>
      </c>
      <c r="T26" s="34">
        <v>15</v>
      </c>
      <c r="U26" s="34">
        <v>0</v>
      </c>
      <c r="V26" s="34">
        <f>SUM(T26*104)</f>
        <v>1560</v>
      </c>
      <c r="W26" s="34">
        <f>SUM(T26*64)</f>
        <v>960</v>
      </c>
      <c r="X26" s="40">
        <f>SUM(U26:W26)</f>
        <v>2520</v>
      </c>
      <c r="Y26" s="160" t="s">
        <v>145</v>
      </c>
      <c r="Z26" t="s">
        <v>237</v>
      </c>
      <c r="AA26" s="25">
        <v>6</v>
      </c>
      <c r="AB26" s="161">
        <v>15</v>
      </c>
      <c r="AC26" s="25">
        <v>24</v>
      </c>
      <c r="AD26" s="161">
        <f>SUM(AB26*AC26*52*AA26)</f>
        <v>112320</v>
      </c>
    </row>
    <row r="27" spans="1:39" ht="14.45" x14ac:dyDescent="0.3">
      <c r="A27" s="5">
        <f t="shared" si="6"/>
        <v>24.96</v>
      </c>
      <c r="B27" s="5">
        <f t="shared" si="0"/>
        <v>37.44</v>
      </c>
      <c r="C27" s="5">
        <f t="shared" si="8"/>
        <v>70087.680000000008</v>
      </c>
      <c r="D27" s="5"/>
      <c r="E27" s="16">
        <f t="shared" si="7"/>
        <v>70087.680000000008</v>
      </c>
      <c r="F27" s="9"/>
      <c r="G27" s="9"/>
      <c r="H27" s="9"/>
      <c r="I27" s="9"/>
      <c r="J27" s="9"/>
      <c r="K27" s="9"/>
      <c r="L27" s="9"/>
      <c r="M27" s="9"/>
      <c r="N27" s="9"/>
      <c r="O27" s="9" t="s">
        <v>18</v>
      </c>
      <c r="P27" s="9" t="s">
        <v>18</v>
      </c>
      <c r="Q27" s="6"/>
      <c r="R27" s="6"/>
      <c r="S27" s="28" t="s">
        <v>2</v>
      </c>
      <c r="T27" s="34">
        <v>15.5</v>
      </c>
      <c r="U27" s="34">
        <f>SUM(T27*112)</f>
        <v>1736</v>
      </c>
      <c r="V27" s="34">
        <f t="shared" ref="V27:V36" si="9">SUM(T27*104)</f>
        <v>1612</v>
      </c>
      <c r="W27" s="34">
        <f t="shared" ref="W27:W36" si="10">SUM(T27*64)</f>
        <v>992</v>
      </c>
      <c r="X27" s="40">
        <f>SUM(U27:W27)</f>
        <v>4340</v>
      </c>
      <c r="Y27" s="160" t="s">
        <v>146</v>
      </c>
      <c r="Z27" t="s">
        <v>237</v>
      </c>
      <c r="AA27" s="25">
        <v>5</v>
      </c>
      <c r="AB27" s="161">
        <v>15</v>
      </c>
      <c r="AC27" s="25">
        <v>24</v>
      </c>
      <c r="AD27" s="161">
        <f t="shared" ref="AD27:AD29" si="11">SUM(AB27*AC27*52*AA27)</f>
        <v>93600</v>
      </c>
    </row>
    <row r="28" spans="1:39" ht="15.6" x14ac:dyDescent="0.3">
      <c r="A28" s="19">
        <f t="shared" ref="A28:A38" si="12">(A6*0.14)+A6</f>
        <v>17.100000000000001</v>
      </c>
      <c r="B28" s="19">
        <f t="shared" si="0"/>
        <v>25.650000000000002</v>
      </c>
      <c r="C28" s="19">
        <f>(A28)*2808</f>
        <v>48016.800000000003</v>
      </c>
      <c r="D28" s="19"/>
      <c r="E28" s="17">
        <f t="shared" si="7"/>
        <v>48016.800000000003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 t="s">
        <v>18</v>
      </c>
      <c r="Q28" s="11" t="s">
        <v>18</v>
      </c>
      <c r="R28" s="6"/>
      <c r="S28" s="28" t="s">
        <v>3</v>
      </c>
      <c r="T28" s="34">
        <v>16.25</v>
      </c>
      <c r="U28" s="34">
        <f>SUM(T28*160)</f>
        <v>2600</v>
      </c>
      <c r="V28" s="34">
        <f t="shared" si="9"/>
        <v>1690</v>
      </c>
      <c r="W28" s="34">
        <f t="shared" si="10"/>
        <v>1040</v>
      </c>
      <c r="X28" s="40">
        <f t="shared" ref="X28:X36" si="13">SUM(U28:W28)</f>
        <v>5330</v>
      </c>
      <c r="Y28" s="160" t="s">
        <v>147</v>
      </c>
      <c r="Z28" t="s">
        <v>237</v>
      </c>
      <c r="AA28" s="25">
        <v>3</v>
      </c>
      <c r="AB28" s="161">
        <v>15</v>
      </c>
      <c r="AC28" s="25">
        <v>24</v>
      </c>
      <c r="AD28" s="161">
        <f t="shared" si="11"/>
        <v>56160</v>
      </c>
      <c r="AI28" s="170"/>
    </row>
    <row r="29" spans="1:39" ht="14.45" x14ac:dyDescent="0.3">
      <c r="A29" s="19">
        <f t="shared" si="12"/>
        <v>17.670000000000002</v>
      </c>
      <c r="B29" s="19">
        <f t="shared" si="0"/>
        <v>26.505000000000003</v>
      </c>
      <c r="C29" s="19">
        <f t="shared" ref="C29:C38" si="14">(A29)*2808</f>
        <v>49617.360000000008</v>
      </c>
      <c r="D29" s="19"/>
      <c r="E29" s="17">
        <f t="shared" si="7"/>
        <v>49617.360000000008</v>
      </c>
      <c r="F29" s="11" t="s">
        <v>18</v>
      </c>
      <c r="G29" s="11"/>
      <c r="H29" s="11"/>
      <c r="I29" s="11"/>
      <c r="J29" s="11"/>
      <c r="K29" s="11"/>
      <c r="L29" s="11"/>
      <c r="M29" s="11"/>
      <c r="N29" s="11"/>
      <c r="O29" s="11"/>
      <c r="P29" s="11" t="s">
        <v>18</v>
      </c>
      <c r="Q29" s="11" t="s">
        <v>18</v>
      </c>
      <c r="R29" s="6"/>
      <c r="S29" s="28" t="s">
        <v>4</v>
      </c>
      <c r="T29" s="34">
        <v>17</v>
      </c>
      <c r="U29" s="34">
        <f t="shared" ref="U29:U31" si="15">SUM(T29*160)</f>
        <v>2720</v>
      </c>
      <c r="V29" s="34">
        <f t="shared" si="9"/>
        <v>1768</v>
      </c>
      <c r="W29" s="34">
        <f t="shared" si="10"/>
        <v>1088</v>
      </c>
      <c r="X29" s="40">
        <f t="shared" si="13"/>
        <v>5576</v>
      </c>
      <c r="Y29" s="160" t="s">
        <v>148</v>
      </c>
      <c r="Z29" t="s">
        <v>237</v>
      </c>
      <c r="AA29" s="25">
        <v>1</v>
      </c>
      <c r="AB29" s="161">
        <v>15</v>
      </c>
      <c r="AC29" s="25">
        <v>24</v>
      </c>
      <c r="AD29" s="161">
        <f t="shared" si="11"/>
        <v>18720</v>
      </c>
    </row>
    <row r="30" spans="1:39" ht="14.45" x14ac:dyDescent="0.3">
      <c r="A30" s="19">
        <f t="shared" si="12"/>
        <v>18.524999999999999</v>
      </c>
      <c r="B30" s="19">
        <f t="shared" si="0"/>
        <v>27.787499999999998</v>
      </c>
      <c r="C30" s="19">
        <f t="shared" si="14"/>
        <v>52018.2</v>
      </c>
      <c r="D30" s="19"/>
      <c r="E30" s="17">
        <f t="shared" si="7"/>
        <v>52018.2</v>
      </c>
      <c r="F30" s="11"/>
      <c r="G30" s="11" t="s">
        <v>18</v>
      </c>
      <c r="H30" s="11"/>
      <c r="I30" s="11"/>
      <c r="J30" s="11"/>
      <c r="K30" s="11"/>
      <c r="L30" s="11"/>
      <c r="M30" s="11"/>
      <c r="N30" s="11"/>
      <c r="O30" s="11"/>
      <c r="P30" s="11" t="s">
        <v>18</v>
      </c>
      <c r="Q30" s="11" t="s">
        <v>18</v>
      </c>
      <c r="R30" s="6"/>
      <c r="S30" s="28" t="s">
        <v>5</v>
      </c>
      <c r="T30" s="34">
        <v>18</v>
      </c>
      <c r="U30" s="34">
        <f t="shared" si="15"/>
        <v>2880</v>
      </c>
      <c r="V30" s="34">
        <f t="shared" si="9"/>
        <v>1872</v>
      </c>
      <c r="W30" s="34">
        <f t="shared" si="10"/>
        <v>1152</v>
      </c>
      <c r="X30" s="40">
        <f t="shared" si="13"/>
        <v>5904</v>
      </c>
      <c r="AA30"/>
    </row>
    <row r="31" spans="1:39" ht="14.45" x14ac:dyDescent="0.3">
      <c r="A31" s="19">
        <f t="shared" si="12"/>
        <v>19.38</v>
      </c>
      <c r="B31" s="19">
        <f t="shared" si="0"/>
        <v>29.07</v>
      </c>
      <c r="C31" s="19">
        <f t="shared" si="14"/>
        <v>54419.039999999994</v>
      </c>
      <c r="D31" s="19"/>
      <c r="E31" s="17">
        <f t="shared" si="7"/>
        <v>54419.039999999994</v>
      </c>
      <c r="F31" s="11"/>
      <c r="G31" s="11"/>
      <c r="H31" s="11" t="s">
        <v>18</v>
      </c>
      <c r="I31" s="11"/>
      <c r="J31" s="11"/>
      <c r="K31" s="11"/>
      <c r="L31" s="11"/>
      <c r="M31" s="11"/>
      <c r="N31" s="11"/>
      <c r="O31" s="11"/>
      <c r="P31" s="11" t="s">
        <v>18</v>
      </c>
      <c r="Q31" s="11" t="s">
        <v>18</v>
      </c>
      <c r="R31" s="6"/>
      <c r="S31" s="28" t="s">
        <v>6</v>
      </c>
      <c r="T31" s="34">
        <v>19</v>
      </c>
      <c r="U31" s="34">
        <f t="shared" si="15"/>
        <v>3040</v>
      </c>
      <c r="V31" s="34">
        <f t="shared" si="9"/>
        <v>1976</v>
      </c>
      <c r="W31" s="34">
        <f t="shared" si="10"/>
        <v>1216</v>
      </c>
      <c r="X31" s="40">
        <f t="shared" si="13"/>
        <v>6232</v>
      </c>
      <c r="AA31"/>
    </row>
    <row r="32" spans="1:39" ht="14.45" x14ac:dyDescent="0.3">
      <c r="A32" s="19">
        <f t="shared" si="12"/>
        <v>20.52</v>
      </c>
      <c r="B32" s="19">
        <f t="shared" si="0"/>
        <v>30.78</v>
      </c>
      <c r="C32" s="19">
        <f t="shared" si="14"/>
        <v>57620.159999999996</v>
      </c>
      <c r="D32" s="19"/>
      <c r="E32" s="17">
        <f t="shared" si="7"/>
        <v>57620.159999999996</v>
      </c>
      <c r="F32" s="11"/>
      <c r="G32" s="11"/>
      <c r="H32" s="11"/>
      <c r="I32" s="11" t="s">
        <v>18</v>
      </c>
      <c r="J32" s="11"/>
      <c r="K32" s="11"/>
      <c r="L32" s="11"/>
      <c r="M32" s="11"/>
      <c r="N32" s="11"/>
      <c r="O32" s="11"/>
      <c r="P32" s="11" t="s">
        <v>18</v>
      </c>
      <c r="Q32" s="11" t="s">
        <v>18</v>
      </c>
      <c r="R32" s="6"/>
      <c r="S32" s="28" t="s">
        <v>7</v>
      </c>
      <c r="T32" s="34">
        <v>20</v>
      </c>
      <c r="U32" s="34">
        <f>SUM(T32*208)</f>
        <v>4160</v>
      </c>
      <c r="V32" s="34">
        <f t="shared" si="9"/>
        <v>2080</v>
      </c>
      <c r="W32" s="34">
        <f t="shared" si="10"/>
        <v>1280</v>
      </c>
      <c r="X32" s="40">
        <f t="shared" si="13"/>
        <v>7520</v>
      </c>
      <c r="AA32"/>
    </row>
    <row r="33" spans="1:27" ht="14.45" x14ac:dyDescent="0.3">
      <c r="A33" s="19">
        <f t="shared" si="12"/>
        <v>21.66</v>
      </c>
      <c r="B33" s="19">
        <f t="shared" si="0"/>
        <v>32.49</v>
      </c>
      <c r="C33" s="19">
        <f t="shared" si="14"/>
        <v>60821.279999999999</v>
      </c>
      <c r="D33" s="19"/>
      <c r="E33" s="17">
        <f t="shared" si="7"/>
        <v>60821.279999999999</v>
      </c>
      <c r="F33" s="11"/>
      <c r="G33" s="11"/>
      <c r="H33" s="11"/>
      <c r="I33" s="11"/>
      <c r="J33" s="11" t="s">
        <v>18</v>
      </c>
      <c r="K33" s="11"/>
      <c r="L33" s="11"/>
      <c r="M33" s="11"/>
      <c r="N33" s="11"/>
      <c r="O33" s="11"/>
      <c r="P33" s="11" t="s">
        <v>18</v>
      </c>
      <c r="Q33" s="11" t="s">
        <v>18</v>
      </c>
      <c r="R33" s="6"/>
      <c r="S33" s="28" t="s">
        <v>8</v>
      </c>
      <c r="T33" s="34">
        <v>21</v>
      </c>
      <c r="U33" s="34">
        <f t="shared" ref="U33:U36" si="16">SUM(T33*208)</f>
        <v>4368</v>
      </c>
      <c r="V33" s="34">
        <f t="shared" si="9"/>
        <v>2184</v>
      </c>
      <c r="W33" s="34">
        <f t="shared" si="10"/>
        <v>1344</v>
      </c>
      <c r="X33" s="40">
        <f t="shared" si="13"/>
        <v>7896</v>
      </c>
      <c r="AA33"/>
    </row>
    <row r="34" spans="1:27" ht="14.45" x14ac:dyDescent="0.3">
      <c r="A34" s="19">
        <f t="shared" si="12"/>
        <v>22.8</v>
      </c>
      <c r="B34" s="19">
        <f t="shared" si="0"/>
        <v>34.200000000000003</v>
      </c>
      <c r="C34" s="19">
        <f t="shared" si="14"/>
        <v>64022.400000000001</v>
      </c>
      <c r="D34" s="19"/>
      <c r="E34" s="17">
        <f t="shared" si="7"/>
        <v>64022.400000000001</v>
      </c>
      <c r="F34" s="11"/>
      <c r="G34" s="11"/>
      <c r="H34" s="11"/>
      <c r="I34" s="11"/>
      <c r="J34" s="11"/>
      <c r="K34" s="11" t="s">
        <v>18</v>
      </c>
      <c r="L34" s="11"/>
      <c r="M34" s="11"/>
      <c r="N34" s="11"/>
      <c r="O34" s="11"/>
      <c r="P34" s="11" t="s">
        <v>18</v>
      </c>
      <c r="Q34" s="11" t="s">
        <v>18</v>
      </c>
      <c r="R34" s="6"/>
      <c r="S34" s="28" t="s">
        <v>9</v>
      </c>
      <c r="T34" s="34">
        <v>22</v>
      </c>
      <c r="U34" s="34">
        <f t="shared" si="16"/>
        <v>4576</v>
      </c>
      <c r="V34" s="34">
        <f t="shared" si="9"/>
        <v>2288</v>
      </c>
      <c r="W34" s="34">
        <f t="shared" si="10"/>
        <v>1408</v>
      </c>
      <c r="X34" s="40">
        <f t="shared" si="13"/>
        <v>8272</v>
      </c>
      <c r="AA34"/>
    </row>
    <row r="35" spans="1:27" ht="14.45" x14ac:dyDescent="0.3">
      <c r="A35" s="19">
        <f t="shared" si="12"/>
        <v>23.94</v>
      </c>
      <c r="B35" s="19">
        <f t="shared" si="0"/>
        <v>35.910000000000004</v>
      </c>
      <c r="C35" s="19">
        <f t="shared" si="14"/>
        <v>67223.520000000004</v>
      </c>
      <c r="D35" s="19"/>
      <c r="E35" s="17">
        <f t="shared" si="7"/>
        <v>67223.520000000004</v>
      </c>
      <c r="F35" s="11"/>
      <c r="G35" s="11"/>
      <c r="H35" s="11"/>
      <c r="I35" s="11"/>
      <c r="J35" s="11"/>
      <c r="K35" s="11"/>
      <c r="L35" s="11" t="s">
        <v>18</v>
      </c>
      <c r="M35" s="11"/>
      <c r="N35" s="11"/>
      <c r="O35" s="11"/>
      <c r="P35" s="11" t="s">
        <v>18</v>
      </c>
      <c r="Q35" s="11" t="s">
        <v>18</v>
      </c>
      <c r="R35" s="6"/>
      <c r="S35" s="28" t="s">
        <v>10</v>
      </c>
      <c r="T35" s="34">
        <v>23</v>
      </c>
      <c r="U35" s="34">
        <f t="shared" si="16"/>
        <v>4784</v>
      </c>
      <c r="V35" s="34">
        <f t="shared" si="9"/>
        <v>2392</v>
      </c>
      <c r="W35" s="34">
        <f t="shared" si="10"/>
        <v>1472</v>
      </c>
      <c r="X35" s="40">
        <f t="shared" si="13"/>
        <v>8648</v>
      </c>
      <c r="AA35"/>
    </row>
    <row r="36" spans="1:27" ht="14.45" x14ac:dyDescent="0.3">
      <c r="A36" s="19">
        <f t="shared" si="12"/>
        <v>25.08</v>
      </c>
      <c r="B36" s="19">
        <f t="shared" si="0"/>
        <v>37.619999999999997</v>
      </c>
      <c r="C36" s="19">
        <f t="shared" si="14"/>
        <v>70424.639999999999</v>
      </c>
      <c r="D36" s="19"/>
      <c r="E36" s="17">
        <f t="shared" si="7"/>
        <v>70424.639999999999</v>
      </c>
      <c r="F36" s="11"/>
      <c r="G36" s="11"/>
      <c r="H36" s="11"/>
      <c r="I36" s="11"/>
      <c r="J36" s="11"/>
      <c r="K36" s="11"/>
      <c r="L36" s="11"/>
      <c r="M36" s="11" t="s">
        <v>18</v>
      </c>
      <c r="N36" s="11"/>
      <c r="O36" s="11"/>
      <c r="P36" s="11" t="s">
        <v>18</v>
      </c>
      <c r="Q36" s="11" t="s">
        <v>18</v>
      </c>
      <c r="R36" s="12"/>
      <c r="S36" s="28" t="s">
        <v>11</v>
      </c>
      <c r="T36" s="34">
        <v>24</v>
      </c>
      <c r="U36" s="34">
        <f t="shared" si="16"/>
        <v>4992</v>
      </c>
      <c r="V36" s="34">
        <f t="shared" si="9"/>
        <v>2496</v>
      </c>
      <c r="W36" s="34">
        <f t="shared" si="10"/>
        <v>1536</v>
      </c>
      <c r="X36" s="40">
        <f t="shared" si="13"/>
        <v>9024</v>
      </c>
      <c r="AA36"/>
    </row>
    <row r="37" spans="1:27" ht="14.45" x14ac:dyDescent="0.3">
      <c r="A37" s="19">
        <f t="shared" si="12"/>
        <v>26.22</v>
      </c>
      <c r="B37" s="19">
        <f t="shared" si="0"/>
        <v>39.33</v>
      </c>
      <c r="C37" s="19">
        <f t="shared" si="14"/>
        <v>73625.759999999995</v>
      </c>
      <c r="D37" s="19"/>
      <c r="E37" s="17">
        <f t="shared" si="7"/>
        <v>73625.759999999995</v>
      </c>
      <c r="F37" s="11"/>
      <c r="G37" s="11"/>
      <c r="H37" s="11"/>
      <c r="I37" s="11"/>
      <c r="J37" s="11"/>
      <c r="K37" s="11"/>
      <c r="L37" s="11"/>
      <c r="M37" s="11"/>
      <c r="N37" s="11" t="s">
        <v>18</v>
      </c>
      <c r="O37" s="11"/>
      <c r="P37" s="11" t="s">
        <v>18</v>
      </c>
      <c r="Q37" s="11" t="s">
        <v>18</v>
      </c>
      <c r="R37" s="12"/>
      <c r="AA37"/>
    </row>
    <row r="38" spans="1:27" ht="14.45" x14ac:dyDescent="0.3">
      <c r="A38" s="19">
        <f t="shared" si="12"/>
        <v>27.36</v>
      </c>
      <c r="B38" s="19">
        <f t="shared" si="0"/>
        <v>41.04</v>
      </c>
      <c r="C38" s="19">
        <f t="shared" si="14"/>
        <v>76826.880000000005</v>
      </c>
      <c r="D38" s="19"/>
      <c r="E38" s="17">
        <f t="shared" si="7"/>
        <v>76826.880000000005</v>
      </c>
      <c r="F38" s="11"/>
      <c r="G38" s="11"/>
      <c r="H38" s="11"/>
      <c r="I38" s="11"/>
      <c r="J38" s="11"/>
      <c r="K38" s="11"/>
      <c r="L38" s="11"/>
      <c r="M38" s="11"/>
      <c r="N38" s="11"/>
      <c r="O38" s="11" t="s">
        <v>18</v>
      </c>
      <c r="P38" s="11" t="s">
        <v>18</v>
      </c>
      <c r="Q38" s="11" t="s">
        <v>18</v>
      </c>
      <c r="R38" s="12"/>
      <c r="T38" s="35" t="s">
        <v>40</v>
      </c>
      <c r="U38" s="35" t="s">
        <v>37</v>
      </c>
      <c r="V38" s="35" t="s">
        <v>39</v>
      </c>
      <c r="W38" s="35" t="s">
        <v>30</v>
      </c>
      <c r="X38" s="39" t="s">
        <v>41</v>
      </c>
      <c r="AA38"/>
    </row>
    <row r="39" spans="1:27" ht="14.45" x14ac:dyDescent="0.3">
      <c r="A39" s="20">
        <f t="shared" ref="A39:A49" si="17">(A6*0.24)+A6</f>
        <v>18.600000000000001</v>
      </c>
      <c r="B39" s="20">
        <f t="shared" si="0"/>
        <v>27.900000000000002</v>
      </c>
      <c r="C39" s="20">
        <f>(A39)*2808</f>
        <v>52228.800000000003</v>
      </c>
      <c r="D39" s="20"/>
      <c r="E39" s="18">
        <f t="shared" si="7"/>
        <v>52228.800000000003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 t="s">
        <v>18</v>
      </c>
      <c r="Q39" s="13" t="s">
        <v>18</v>
      </c>
      <c r="R39" s="13" t="s">
        <v>18</v>
      </c>
      <c r="S39" s="28" t="s">
        <v>38</v>
      </c>
      <c r="T39" s="5">
        <v>15.6</v>
      </c>
      <c r="U39" s="5">
        <v>0</v>
      </c>
      <c r="V39" s="5">
        <f>SUM(T39*104)</f>
        <v>1622.3999999999999</v>
      </c>
      <c r="W39" s="5">
        <f>SUM(T39*64)</f>
        <v>998.4</v>
      </c>
      <c r="X39" s="41">
        <f>SUM(U39:W39)</f>
        <v>2620.7999999999997</v>
      </c>
      <c r="AA39"/>
    </row>
    <row r="40" spans="1:27" ht="14.45" x14ac:dyDescent="0.3">
      <c r="A40" s="20">
        <f t="shared" si="17"/>
        <v>19.22</v>
      </c>
      <c r="B40" s="20">
        <f t="shared" si="0"/>
        <v>28.83</v>
      </c>
      <c r="C40" s="20">
        <f t="shared" ref="C40:C49" si="18">(A40)*2808</f>
        <v>53969.759999999995</v>
      </c>
      <c r="D40" s="20"/>
      <c r="E40" s="18">
        <f t="shared" si="7"/>
        <v>53969.759999999995</v>
      </c>
      <c r="F40" s="13" t="s">
        <v>18</v>
      </c>
      <c r="G40" s="13"/>
      <c r="H40" s="13"/>
      <c r="I40" s="13"/>
      <c r="J40" s="13"/>
      <c r="K40" s="13"/>
      <c r="L40" s="13"/>
      <c r="M40" s="13"/>
      <c r="N40" s="13"/>
      <c r="O40" s="13"/>
      <c r="P40" s="13" t="s">
        <v>18</v>
      </c>
      <c r="Q40" s="13" t="s">
        <v>18</v>
      </c>
      <c r="R40" s="13" t="s">
        <v>18</v>
      </c>
      <c r="S40" s="28" t="s">
        <v>2</v>
      </c>
      <c r="T40" s="5">
        <v>16.12</v>
      </c>
      <c r="U40" s="5">
        <f>SUM(T40*112)</f>
        <v>1805.44</v>
      </c>
      <c r="V40" s="5">
        <f t="shared" ref="V40:V49" si="19">SUM(T40*104)</f>
        <v>1676.48</v>
      </c>
      <c r="W40" s="5">
        <f t="shared" ref="W40:W49" si="20">SUM(T40*64)</f>
        <v>1031.68</v>
      </c>
      <c r="X40" s="41">
        <f t="shared" ref="X40:X49" si="21">SUM(U40:W40)</f>
        <v>4513.6000000000004</v>
      </c>
      <c r="AA40"/>
    </row>
    <row r="41" spans="1:27" ht="14.45" x14ac:dyDescent="0.3">
      <c r="A41" s="20">
        <f t="shared" si="17"/>
        <v>20.149999999999999</v>
      </c>
      <c r="B41" s="20">
        <f t="shared" si="0"/>
        <v>30.224999999999998</v>
      </c>
      <c r="C41" s="20">
        <f t="shared" si="18"/>
        <v>56581.2</v>
      </c>
      <c r="D41" s="20"/>
      <c r="E41" s="18">
        <f t="shared" si="7"/>
        <v>56581.2</v>
      </c>
      <c r="F41" s="13"/>
      <c r="G41" s="13" t="s">
        <v>18</v>
      </c>
      <c r="H41" s="13"/>
      <c r="I41" s="13"/>
      <c r="J41" s="13"/>
      <c r="K41" s="13"/>
      <c r="L41" s="13"/>
      <c r="M41" s="13"/>
      <c r="N41" s="13"/>
      <c r="O41" s="13"/>
      <c r="P41" s="13" t="s">
        <v>18</v>
      </c>
      <c r="Q41" s="13" t="s">
        <v>18</v>
      </c>
      <c r="R41" s="13" t="s">
        <v>18</v>
      </c>
      <c r="S41" s="28" t="s">
        <v>3</v>
      </c>
      <c r="T41" s="5">
        <v>16.899999999999999</v>
      </c>
      <c r="U41" s="5">
        <f>SUM(T41*160)</f>
        <v>2704</v>
      </c>
      <c r="V41" s="5">
        <f t="shared" si="19"/>
        <v>1757.6</v>
      </c>
      <c r="W41" s="5">
        <f t="shared" si="20"/>
        <v>1081.5999999999999</v>
      </c>
      <c r="X41" s="41">
        <f t="shared" si="21"/>
        <v>5543.2000000000007</v>
      </c>
      <c r="AA41"/>
    </row>
    <row r="42" spans="1:27" ht="14.45" x14ac:dyDescent="0.3">
      <c r="A42" s="20">
        <f t="shared" si="17"/>
        <v>21.08</v>
      </c>
      <c r="B42" s="20">
        <f t="shared" si="0"/>
        <v>31.619999999999997</v>
      </c>
      <c r="C42" s="20">
        <f t="shared" si="18"/>
        <v>59192.639999999992</v>
      </c>
      <c r="D42" s="20"/>
      <c r="E42" s="18">
        <f t="shared" si="7"/>
        <v>59192.639999999992</v>
      </c>
      <c r="F42" s="13"/>
      <c r="G42" s="13"/>
      <c r="H42" s="13" t="s">
        <v>18</v>
      </c>
      <c r="I42" s="13"/>
      <c r="J42" s="13"/>
      <c r="K42" s="13"/>
      <c r="L42" s="13"/>
      <c r="M42" s="13"/>
      <c r="N42" s="13"/>
      <c r="O42" s="13"/>
      <c r="P42" s="13" t="s">
        <v>18</v>
      </c>
      <c r="Q42" s="13" t="s">
        <v>18</v>
      </c>
      <c r="R42" s="13" t="s">
        <v>18</v>
      </c>
      <c r="S42" s="28" t="s">
        <v>4</v>
      </c>
      <c r="T42" s="5">
        <v>17.68</v>
      </c>
      <c r="U42" s="5">
        <f t="shared" ref="U42:U44" si="22">SUM(T42*160)</f>
        <v>2828.8</v>
      </c>
      <c r="V42" s="5">
        <f t="shared" si="19"/>
        <v>1838.72</v>
      </c>
      <c r="W42" s="5">
        <f t="shared" si="20"/>
        <v>1131.52</v>
      </c>
      <c r="X42" s="41">
        <f t="shared" si="21"/>
        <v>5799.0400000000009</v>
      </c>
      <c r="AA42"/>
    </row>
    <row r="43" spans="1:27" ht="14.45" x14ac:dyDescent="0.3">
      <c r="A43" s="20">
        <f t="shared" si="17"/>
        <v>22.32</v>
      </c>
      <c r="B43" s="20">
        <f t="shared" si="0"/>
        <v>33.480000000000004</v>
      </c>
      <c r="C43" s="20">
        <f t="shared" si="18"/>
        <v>62674.559999999998</v>
      </c>
      <c r="D43" s="20"/>
      <c r="E43" s="18">
        <f t="shared" si="7"/>
        <v>62674.559999999998</v>
      </c>
      <c r="F43" s="13"/>
      <c r="G43" s="13"/>
      <c r="H43" s="13"/>
      <c r="I43" s="13" t="s">
        <v>18</v>
      </c>
      <c r="J43" s="13"/>
      <c r="K43" s="13"/>
      <c r="L43" s="13"/>
      <c r="M43" s="13"/>
      <c r="N43" s="13"/>
      <c r="O43" s="13"/>
      <c r="P43" s="13" t="s">
        <v>18</v>
      </c>
      <c r="Q43" s="13" t="s">
        <v>18</v>
      </c>
      <c r="R43" s="13" t="s">
        <v>18</v>
      </c>
      <c r="S43" s="28" t="s">
        <v>5</v>
      </c>
      <c r="T43" s="5">
        <v>18.72</v>
      </c>
      <c r="U43" s="5">
        <f t="shared" si="22"/>
        <v>2995.2</v>
      </c>
      <c r="V43" s="5">
        <f t="shared" si="19"/>
        <v>1946.8799999999999</v>
      </c>
      <c r="W43" s="5">
        <f t="shared" si="20"/>
        <v>1198.08</v>
      </c>
      <c r="X43" s="41">
        <f t="shared" si="21"/>
        <v>6140.16</v>
      </c>
      <c r="AA43"/>
    </row>
    <row r="44" spans="1:27" ht="14.45" x14ac:dyDescent="0.3">
      <c r="A44" s="20">
        <f t="shared" si="17"/>
        <v>23.56</v>
      </c>
      <c r="B44" s="20">
        <f t="shared" si="0"/>
        <v>35.339999999999996</v>
      </c>
      <c r="C44" s="20">
        <f t="shared" si="18"/>
        <v>66156.479999999996</v>
      </c>
      <c r="D44" s="20"/>
      <c r="E44" s="18">
        <f t="shared" si="7"/>
        <v>66156.479999999996</v>
      </c>
      <c r="F44" s="13"/>
      <c r="G44" s="13"/>
      <c r="H44" s="13"/>
      <c r="I44" s="13"/>
      <c r="J44" s="13" t="s">
        <v>18</v>
      </c>
      <c r="K44" s="13"/>
      <c r="L44" s="13"/>
      <c r="M44" s="13"/>
      <c r="N44" s="13"/>
      <c r="O44" s="13"/>
      <c r="P44" s="13" t="s">
        <v>18</v>
      </c>
      <c r="Q44" s="13" t="s">
        <v>18</v>
      </c>
      <c r="R44" s="13" t="s">
        <v>18</v>
      </c>
      <c r="S44" s="28" t="s">
        <v>6</v>
      </c>
      <c r="T44" s="5">
        <v>19.760000000000002</v>
      </c>
      <c r="U44" s="5">
        <f t="shared" si="22"/>
        <v>3161.6000000000004</v>
      </c>
      <c r="V44" s="5">
        <f t="shared" si="19"/>
        <v>2055.04</v>
      </c>
      <c r="W44" s="5">
        <f t="shared" si="20"/>
        <v>1264.6400000000001</v>
      </c>
      <c r="X44" s="41">
        <f t="shared" si="21"/>
        <v>6481.2800000000007</v>
      </c>
      <c r="AA44"/>
    </row>
    <row r="45" spans="1:27" ht="14.45" x14ac:dyDescent="0.3">
      <c r="A45" s="20">
        <f t="shared" si="17"/>
        <v>24.8</v>
      </c>
      <c r="B45" s="20">
        <f t="shared" si="0"/>
        <v>37.200000000000003</v>
      </c>
      <c r="C45" s="20">
        <f t="shared" si="18"/>
        <v>69638.400000000009</v>
      </c>
      <c r="D45" s="20"/>
      <c r="E45" s="18">
        <f t="shared" si="7"/>
        <v>69638.400000000009</v>
      </c>
      <c r="F45" s="13"/>
      <c r="G45" s="13"/>
      <c r="H45" s="13"/>
      <c r="I45" s="13"/>
      <c r="J45" s="13"/>
      <c r="K45" s="13" t="s">
        <v>18</v>
      </c>
      <c r="L45" s="13"/>
      <c r="M45" s="13"/>
      <c r="N45" s="13"/>
      <c r="O45" s="13"/>
      <c r="P45" s="13" t="s">
        <v>18</v>
      </c>
      <c r="Q45" s="13" t="s">
        <v>18</v>
      </c>
      <c r="R45" s="13" t="s">
        <v>18</v>
      </c>
      <c r="S45" s="28" t="s">
        <v>7</v>
      </c>
      <c r="T45" s="5">
        <v>20.8</v>
      </c>
      <c r="U45" s="5">
        <f>SUM(T45*208)</f>
        <v>4326.4000000000005</v>
      </c>
      <c r="V45" s="5">
        <f t="shared" si="19"/>
        <v>2163.2000000000003</v>
      </c>
      <c r="W45" s="5">
        <f t="shared" si="20"/>
        <v>1331.2</v>
      </c>
      <c r="X45" s="41">
        <f t="shared" si="21"/>
        <v>7820.8</v>
      </c>
      <c r="AA45"/>
    </row>
    <row r="46" spans="1:27" ht="14.45" x14ac:dyDescent="0.3">
      <c r="A46" s="20">
        <f t="shared" si="17"/>
        <v>26.04</v>
      </c>
      <c r="B46" s="20">
        <f t="shared" si="0"/>
        <v>39.06</v>
      </c>
      <c r="C46" s="20">
        <f t="shared" si="18"/>
        <v>73120.319999999992</v>
      </c>
      <c r="D46" s="20"/>
      <c r="E46" s="18">
        <f t="shared" si="7"/>
        <v>73120.319999999992</v>
      </c>
      <c r="F46" s="13"/>
      <c r="G46" s="13"/>
      <c r="H46" s="13"/>
      <c r="I46" s="13"/>
      <c r="J46" s="13"/>
      <c r="K46" s="13"/>
      <c r="L46" s="13" t="s">
        <v>18</v>
      </c>
      <c r="M46" s="13"/>
      <c r="N46" s="13"/>
      <c r="O46" s="13"/>
      <c r="P46" s="13" t="s">
        <v>18</v>
      </c>
      <c r="Q46" s="13" t="s">
        <v>18</v>
      </c>
      <c r="R46" s="13" t="s">
        <v>18</v>
      </c>
      <c r="S46" s="28" t="s">
        <v>8</v>
      </c>
      <c r="T46" s="5">
        <v>21.84</v>
      </c>
      <c r="U46" s="5">
        <f t="shared" ref="U46:U49" si="23">SUM(T46*208)</f>
        <v>4542.72</v>
      </c>
      <c r="V46" s="5">
        <f t="shared" si="19"/>
        <v>2271.36</v>
      </c>
      <c r="W46" s="5">
        <f t="shared" si="20"/>
        <v>1397.76</v>
      </c>
      <c r="X46" s="41">
        <f t="shared" si="21"/>
        <v>8211.84</v>
      </c>
      <c r="AA46"/>
    </row>
    <row r="47" spans="1:27" ht="14.45" x14ac:dyDescent="0.3">
      <c r="A47" s="20">
        <f t="shared" si="17"/>
        <v>27.28</v>
      </c>
      <c r="B47" s="20">
        <f t="shared" si="0"/>
        <v>40.92</v>
      </c>
      <c r="C47" s="20">
        <f t="shared" si="18"/>
        <v>76602.240000000005</v>
      </c>
      <c r="D47" s="20"/>
      <c r="E47" s="18">
        <f t="shared" si="7"/>
        <v>76602.240000000005</v>
      </c>
      <c r="F47" s="13"/>
      <c r="G47" s="13"/>
      <c r="H47" s="13"/>
      <c r="I47" s="13"/>
      <c r="J47" s="13"/>
      <c r="K47" s="13"/>
      <c r="L47" s="13"/>
      <c r="M47" s="13" t="s">
        <v>18</v>
      </c>
      <c r="N47" s="13"/>
      <c r="O47" s="13"/>
      <c r="P47" s="13" t="s">
        <v>18</v>
      </c>
      <c r="Q47" s="13" t="s">
        <v>18</v>
      </c>
      <c r="R47" s="13" t="s">
        <v>18</v>
      </c>
      <c r="S47" s="28" t="s">
        <v>9</v>
      </c>
      <c r="T47" s="5">
        <v>22.88</v>
      </c>
      <c r="U47" s="5">
        <f t="shared" si="23"/>
        <v>4759.04</v>
      </c>
      <c r="V47" s="5">
        <f t="shared" si="19"/>
        <v>2379.52</v>
      </c>
      <c r="W47" s="5">
        <f t="shared" si="20"/>
        <v>1464.32</v>
      </c>
      <c r="X47" s="41">
        <f t="shared" si="21"/>
        <v>8602.8799999999992</v>
      </c>
      <c r="AA47"/>
    </row>
    <row r="48" spans="1:27" ht="14.45" x14ac:dyDescent="0.3">
      <c r="A48" s="20">
        <f t="shared" si="17"/>
        <v>28.52</v>
      </c>
      <c r="B48" s="20">
        <f t="shared" si="0"/>
        <v>42.78</v>
      </c>
      <c r="C48" s="20">
        <f t="shared" si="18"/>
        <v>80084.160000000003</v>
      </c>
      <c r="D48" s="20"/>
      <c r="E48" s="18">
        <f t="shared" si="7"/>
        <v>80084.160000000003</v>
      </c>
      <c r="F48" s="13"/>
      <c r="G48" s="13"/>
      <c r="H48" s="13"/>
      <c r="I48" s="13"/>
      <c r="J48" s="13"/>
      <c r="K48" s="13"/>
      <c r="L48" s="13"/>
      <c r="M48" s="13"/>
      <c r="N48" s="13" t="s">
        <v>18</v>
      </c>
      <c r="O48" s="13"/>
      <c r="P48" s="13" t="s">
        <v>18</v>
      </c>
      <c r="Q48" s="13" t="s">
        <v>18</v>
      </c>
      <c r="R48" s="13" t="s">
        <v>18</v>
      </c>
      <c r="S48" s="28" t="s">
        <v>10</v>
      </c>
      <c r="T48" s="5">
        <v>23.92</v>
      </c>
      <c r="U48" s="5">
        <f t="shared" si="23"/>
        <v>4975.3600000000006</v>
      </c>
      <c r="V48" s="5">
        <f t="shared" si="19"/>
        <v>2487.6800000000003</v>
      </c>
      <c r="W48" s="5">
        <f t="shared" si="20"/>
        <v>1530.88</v>
      </c>
      <c r="X48" s="41">
        <f t="shared" si="21"/>
        <v>8993.9200000000019</v>
      </c>
      <c r="AA48"/>
    </row>
    <row r="49" spans="1:27" ht="14.45" x14ac:dyDescent="0.3">
      <c r="A49" s="20">
        <f t="shared" si="17"/>
        <v>29.759999999999998</v>
      </c>
      <c r="B49" s="20">
        <f t="shared" si="0"/>
        <v>44.64</v>
      </c>
      <c r="C49" s="20">
        <f t="shared" si="18"/>
        <v>83566.079999999987</v>
      </c>
      <c r="D49" s="20"/>
      <c r="E49" s="18">
        <f t="shared" si="7"/>
        <v>83566.079999999987</v>
      </c>
      <c r="F49" s="13"/>
      <c r="G49" s="13"/>
      <c r="H49" s="13"/>
      <c r="I49" s="13"/>
      <c r="J49" s="13"/>
      <c r="K49" s="13"/>
      <c r="L49" s="13"/>
      <c r="M49" s="13"/>
      <c r="N49" s="13"/>
      <c r="O49" s="13" t="s">
        <v>18</v>
      </c>
      <c r="P49" s="13" t="s">
        <v>18</v>
      </c>
      <c r="Q49" s="13" t="s">
        <v>18</v>
      </c>
      <c r="R49" s="13" t="s">
        <v>18</v>
      </c>
      <c r="S49" s="28" t="s">
        <v>11</v>
      </c>
      <c r="T49" s="5">
        <v>24.96</v>
      </c>
      <c r="U49" s="5">
        <f t="shared" si="23"/>
        <v>5191.68</v>
      </c>
      <c r="V49" s="5">
        <f t="shared" si="19"/>
        <v>2595.84</v>
      </c>
      <c r="W49" s="5">
        <f t="shared" si="20"/>
        <v>1597.44</v>
      </c>
      <c r="X49" s="41">
        <f t="shared" si="21"/>
        <v>9384.9600000000009</v>
      </c>
      <c r="AA49"/>
    </row>
    <row r="50" spans="1:27" ht="14.45" x14ac:dyDescent="0.3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AA50"/>
    </row>
    <row r="51" spans="1:27" ht="14.45" x14ac:dyDescent="0.3">
      <c r="A51" s="2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T51" s="35" t="s">
        <v>208</v>
      </c>
      <c r="U51" s="35" t="s">
        <v>37</v>
      </c>
      <c r="V51" s="35" t="s">
        <v>39</v>
      </c>
      <c r="W51" s="35" t="s">
        <v>30</v>
      </c>
      <c r="X51" s="39" t="s">
        <v>41</v>
      </c>
      <c r="AA51"/>
    </row>
    <row r="52" spans="1:27" x14ac:dyDescent="0.25">
      <c r="A52" s="1" t="s">
        <v>0</v>
      </c>
      <c r="B52" s="1" t="s">
        <v>14</v>
      </c>
      <c r="C52" s="1" t="s">
        <v>12</v>
      </c>
      <c r="D52" s="1" t="s">
        <v>206</v>
      </c>
      <c r="E52" s="15" t="s">
        <v>1</v>
      </c>
      <c r="F52" s="6" t="s">
        <v>2</v>
      </c>
      <c r="G52" s="6" t="s">
        <v>3</v>
      </c>
      <c r="H52" s="6" t="s">
        <v>4</v>
      </c>
      <c r="I52" s="6" t="s">
        <v>5</v>
      </c>
      <c r="J52" s="6" t="s">
        <v>6</v>
      </c>
      <c r="K52" s="6" t="s">
        <v>7</v>
      </c>
      <c r="L52" s="6" t="s">
        <v>8</v>
      </c>
      <c r="M52" s="6" t="s">
        <v>9</v>
      </c>
      <c r="N52" s="6" t="s">
        <v>10</v>
      </c>
      <c r="O52" s="6" t="s">
        <v>11</v>
      </c>
      <c r="P52" s="6" t="s">
        <v>16</v>
      </c>
      <c r="Q52" s="6"/>
      <c r="R52" s="6"/>
      <c r="S52" s="28" t="s">
        <v>38</v>
      </c>
      <c r="T52" s="19">
        <v>17.100000000000001</v>
      </c>
      <c r="U52" s="19">
        <v>0</v>
      </c>
      <c r="V52" s="19">
        <f>SUM(T52*104)</f>
        <v>1778.4</v>
      </c>
      <c r="W52" s="19">
        <f>SUM(T52*64)</f>
        <v>1094.4000000000001</v>
      </c>
      <c r="X52" s="42">
        <f>SUM(U52:W52)</f>
        <v>2872.8</v>
      </c>
      <c r="AA52"/>
    </row>
    <row r="53" spans="1:27" x14ac:dyDescent="0.25">
      <c r="A53" s="1"/>
      <c r="B53" s="1"/>
      <c r="C53" s="1"/>
      <c r="D53" s="1"/>
      <c r="E53" s="15"/>
      <c r="F53" s="7">
        <v>0.5</v>
      </c>
      <c r="G53" s="7">
        <v>1.25</v>
      </c>
      <c r="H53" s="7">
        <v>2</v>
      </c>
      <c r="I53" s="7">
        <v>3</v>
      </c>
      <c r="J53" s="7">
        <v>4</v>
      </c>
      <c r="K53" s="7">
        <v>5</v>
      </c>
      <c r="L53" s="7">
        <v>6</v>
      </c>
      <c r="M53" s="7">
        <v>7</v>
      </c>
      <c r="N53" s="7">
        <v>8</v>
      </c>
      <c r="O53" s="7">
        <v>9</v>
      </c>
      <c r="P53" s="8">
        <v>0.1</v>
      </c>
      <c r="Q53" s="8"/>
      <c r="R53" s="8"/>
      <c r="S53" s="28" t="s">
        <v>2</v>
      </c>
      <c r="T53" s="19">
        <v>17.670000000000002</v>
      </c>
      <c r="U53" s="19">
        <f>SUM(T53*112)</f>
        <v>1979.0400000000002</v>
      </c>
      <c r="V53" s="19">
        <f t="shared" ref="V53:V62" si="24">SUM(T53*104)</f>
        <v>1837.6800000000003</v>
      </c>
      <c r="W53" s="19">
        <f t="shared" ref="W53:W62" si="25">SUM(T53*64)</f>
        <v>1130.8800000000001</v>
      </c>
      <c r="X53" s="42">
        <f t="shared" ref="X53:X62" si="26">SUM(U53:W53)</f>
        <v>4947.6000000000004</v>
      </c>
      <c r="AA53"/>
    </row>
    <row r="54" spans="1:27" x14ac:dyDescent="0.25">
      <c r="A54" s="117" t="s">
        <v>205</v>
      </c>
      <c r="B54" s="1"/>
      <c r="C54" s="1"/>
      <c r="D54" s="1"/>
      <c r="E54" s="15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  <c r="Q54" s="8"/>
      <c r="R54" s="8"/>
      <c r="S54" s="28" t="s">
        <v>3</v>
      </c>
      <c r="T54" s="19">
        <v>18.524999999999999</v>
      </c>
      <c r="U54" s="19">
        <f>SUM(T54*160)</f>
        <v>2964</v>
      </c>
      <c r="V54" s="19">
        <f t="shared" si="24"/>
        <v>1926.6</v>
      </c>
      <c r="W54" s="19">
        <f t="shared" si="25"/>
        <v>1185.5999999999999</v>
      </c>
      <c r="X54" s="42">
        <f t="shared" si="26"/>
        <v>6076.2000000000007</v>
      </c>
      <c r="AA54"/>
    </row>
    <row r="55" spans="1:27" x14ac:dyDescent="0.25">
      <c r="A55" s="21">
        <v>15</v>
      </c>
      <c r="B55" s="118">
        <f t="shared" ref="B55:B76" si="27">(A55)*1.5</f>
        <v>22.5</v>
      </c>
      <c r="C55" s="118">
        <f t="shared" ref="C55:C76" si="28">(A55)*2080</f>
        <v>31200</v>
      </c>
      <c r="D55" s="118">
        <f>(B55)*416</f>
        <v>9360</v>
      </c>
      <c r="E55" s="119">
        <f t="shared" ref="E55:E65" si="29">SUM(C55:D55)</f>
        <v>40560</v>
      </c>
      <c r="F55" s="120"/>
      <c r="G55" s="120"/>
      <c r="H55" s="120"/>
      <c r="I55" s="120"/>
      <c r="J55" s="120"/>
      <c r="K55" s="199" t="s">
        <v>31</v>
      </c>
      <c r="L55" s="200"/>
      <c r="M55" s="201"/>
      <c r="N55" s="120"/>
      <c r="O55" s="120"/>
      <c r="P55" s="6"/>
      <c r="Q55" s="6"/>
      <c r="R55" s="6"/>
      <c r="S55" s="28" t="s">
        <v>4</v>
      </c>
      <c r="T55" s="19">
        <v>19.38</v>
      </c>
      <c r="U55" s="19">
        <f t="shared" ref="U55:U57" si="30">SUM(T55*160)</f>
        <v>3100.7999999999997</v>
      </c>
      <c r="V55" s="19">
        <f t="shared" si="24"/>
        <v>2015.52</v>
      </c>
      <c r="W55" s="19">
        <f t="shared" si="25"/>
        <v>1240.32</v>
      </c>
      <c r="X55" s="42">
        <f t="shared" si="26"/>
        <v>6356.6399999999994</v>
      </c>
      <c r="AA55"/>
    </row>
    <row r="56" spans="1:27" x14ac:dyDescent="0.25">
      <c r="A56" s="118">
        <f>(A55)+(F53)</f>
        <v>15.5</v>
      </c>
      <c r="B56" s="118">
        <f t="shared" si="27"/>
        <v>23.25</v>
      </c>
      <c r="C56" s="118">
        <f t="shared" si="28"/>
        <v>32240</v>
      </c>
      <c r="D56" s="118">
        <f t="shared" ref="D56:D65" si="31">(B56)*416</f>
        <v>9672</v>
      </c>
      <c r="E56" s="119">
        <f t="shared" si="29"/>
        <v>41912</v>
      </c>
      <c r="F56" s="120" t="s">
        <v>18</v>
      </c>
      <c r="G56" s="120"/>
      <c r="H56" s="120"/>
      <c r="I56" s="120"/>
      <c r="J56" s="120"/>
      <c r="K56" s="120"/>
      <c r="L56" s="120"/>
      <c r="M56" s="120"/>
      <c r="N56" s="120"/>
      <c r="O56" s="120"/>
      <c r="P56" s="6"/>
      <c r="Q56" s="6"/>
      <c r="R56" s="6"/>
      <c r="S56" s="28" t="s">
        <v>5</v>
      </c>
      <c r="T56" s="19">
        <v>20.52</v>
      </c>
      <c r="U56" s="19">
        <f t="shared" si="30"/>
        <v>3283.2</v>
      </c>
      <c r="V56" s="19">
        <f t="shared" si="24"/>
        <v>2134.08</v>
      </c>
      <c r="W56" s="19">
        <f t="shared" si="25"/>
        <v>1313.28</v>
      </c>
      <c r="X56" s="42">
        <f t="shared" si="26"/>
        <v>6730.5599999999995</v>
      </c>
      <c r="AA56"/>
    </row>
    <row r="57" spans="1:27" x14ac:dyDescent="0.25">
      <c r="A57" s="118">
        <f>(A55)+(G53)</f>
        <v>16.25</v>
      </c>
      <c r="B57" s="118">
        <f t="shared" si="27"/>
        <v>24.375</v>
      </c>
      <c r="C57" s="118">
        <f t="shared" si="28"/>
        <v>33800</v>
      </c>
      <c r="D57" s="118">
        <f t="shared" si="31"/>
        <v>10140</v>
      </c>
      <c r="E57" s="119">
        <f t="shared" si="29"/>
        <v>43940</v>
      </c>
      <c r="F57" s="120"/>
      <c r="G57" s="120" t="s">
        <v>18</v>
      </c>
      <c r="H57" s="120"/>
      <c r="I57" s="120"/>
      <c r="J57" s="120"/>
      <c r="K57" s="120"/>
      <c r="L57" s="120"/>
      <c r="M57" s="120"/>
      <c r="N57" s="120"/>
      <c r="O57" s="120"/>
      <c r="P57" s="6"/>
      <c r="Q57" s="6"/>
      <c r="R57" s="6"/>
      <c r="S57" s="28" t="s">
        <v>6</v>
      </c>
      <c r="T57" s="19">
        <v>21.66</v>
      </c>
      <c r="U57" s="19">
        <f t="shared" si="30"/>
        <v>3465.6</v>
      </c>
      <c r="V57" s="19">
        <f t="shared" si="24"/>
        <v>2252.64</v>
      </c>
      <c r="W57" s="19">
        <f t="shared" si="25"/>
        <v>1386.24</v>
      </c>
      <c r="X57" s="42">
        <f t="shared" si="26"/>
        <v>7104.48</v>
      </c>
      <c r="AA57"/>
    </row>
    <row r="58" spans="1:27" x14ac:dyDescent="0.25">
      <c r="A58" s="118">
        <f>(A55)+(H53)</f>
        <v>17</v>
      </c>
      <c r="B58" s="118">
        <f t="shared" si="27"/>
        <v>25.5</v>
      </c>
      <c r="C58" s="118">
        <f t="shared" si="28"/>
        <v>35360</v>
      </c>
      <c r="D58" s="118">
        <f t="shared" si="31"/>
        <v>10608</v>
      </c>
      <c r="E58" s="119">
        <f t="shared" si="29"/>
        <v>45968</v>
      </c>
      <c r="F58" s="120"/>
      <c r="G58" s="120"/>
      <c r="H58" s="120" t="s">
        <v>18</v>
      </c>
      <c r="I58" s="120"/>
      <c r="J58" s="120"/>
      <c r="K58" s="120"/>
      <c r="L58" s="120"/>
      <c r="M58" s="120"/>
      <c r="N58" s="120"/>
      <c r="O58" s="120"/>
      <c r="P58" s="6"/>
      <c r="Q58" s="6"/>
      <c r="R58" s="6"/>
      <c r="S58" s="28" t="s">
        <v>7</v>
      </c>
      <c r="T58" s="19">
        <v>22.8</v>
      </c>
      <c r="U58" s="19">
        <f>SUM(T58*208)</f>
        <v>4742.4000000000005</v>
      </c>
      <c r="V58" s="19">
        <f t="shared" si="24"/>
        <v>2371.2000000000003</v>
      </c>
      <c r="W58" s="19">
        <f t="shared" si="25"/>
        <v>1459.2</v>
      </c>
      <c r="X58" s="42">
        <f t="shared" si="26"/>
        <v>8572.8000000000011</v>
      </c>
      <c r="AA58"/>
    </row>
    <row r="59" spans="1:27" x14ac:dyDescent="0.25">
      <c r="A59" s="118">
        <f>(A55)+(I53)</f>
        <v>18</v>
      </c>
      <c r="B59" s="118">
        <f t="shared" si="27"/>
        <v>27</v>
      </c>
      <c r="C59" s="118">
        <f t="shared" si="28"/>
        <v>37440</v>
      </c>
      <c r="D59" s="118">
        <f t="shared" si="31"/>
        <v>11232</v>
      </c>
      <c r="E59" s="119">
        <f t="shared" si="29"/>
        <v>48672</v>
      </c>
      <c r="F59" s="120"/>
      <c r="G59" s="120"/>
      <c r="H59" s="120"/>
      <c r="I59" s="120" t="s">
        <v>18</v>
      </c>
      <c r="J59" s="120"/>
      <c r="K59" s="120"/>
      <c r="L59" s="120"/>
      <c r="M59" s="120"/>
      <c r="N59" s="120"/>
      <c r="O59" s="120"/>
      <c r="P59" s="6"/>
      <c r="Q59" s="6"/>
      <c r="R59" s="6"/>
      <c r="S59" s="28" t="s">
        <v>8</v>
      </c>
      <c r="T59" s="19">
        <v>23.94</v>
      </c>
      <c r="U59" s="19">
        <f t="shared" ref="U59:U62" si="32">SUM(T59*208)</f>
        <v>4979.5200000000004</v>
      </c>
      <c r="V59" s="19">
        <f t="shared" si="24"/>
        <v>2489.7600000000002</v>
      </c>
      <c r="W59" s="19">
        <f t="shared" si="25"/>
        <v>1532.16</v>
      </c>
      <c r="X59" s="42">
        <f t="shared" si="26"/>
        <v>9001.44</v>
      </c>
      <c r="AA59"/>
    </row>
    <row r="60" spans="1:27" x14ac:dyDescent="0.25">
      <c r="A60" s="118">
        <f>(A55)+(J53)</f>
        <v>19</v>
      </c>
      <c r="B60" s="118">
        <f t="shared" si="27"/>
        <v>28.5</v>
      </c>
      <c r="C60" s="118">
        <f t="shared" si="28"/>
        <v>39520</v>
      </c>
      <c r="D60" s="118">
        <f t="shared" si="31"/>
        <v>11856</v>
      </c>
      <c r="E60" s="119">
        <f t="shared" si="29"/>
        <v>51376</v>
      </c>
      <c r="F60" s="120"/>
      <c r="G60" s="120"/>
      <c r="H60" s="120"/>
      <c r="I60" s="120"/>
      <c r="J60" s="120" t="s">
        <v>18</v>
      </c>
      <c r="K60" s="120"/>
      <c r="L60" s="120"/>
      <c r="M60" s="120"/>
      <c r="N60" s="120"/>
      <c r="O60" s="120"/>
      <c r="P60" s="6"/>
      <c r="Q60" s="6"/>
      <c r="R60" s="6"/>
      <c r="S60" s="28" t="s">
        <v>9</v>
      </c>
      <c r="T60" s="19">
        <v>25.08</v>
      </c>
      <c r="U60" s="19">
        <f t="shared" si="32"/>
        <v>5216.6399999999994</v>
      </c>
      <c r="V60" s="19">
        <f t="shared" si="24"/>
        <v>2608.3199999999997</v>
      </c>
      <c r="W60" s="19">
        <f t="shared" si="25"/>
        <v>1605.12</v>
      </c>
      <c r="X60" s="42">
        <f t="shared" si="26"/>
        <v>9430.0799999999981</v>
      </c>
      <c r="AA60"/>
    </row>
    <row r="61" spans="1:27" x14ac:dyDescent="0.25">
      <c r="A61" s="118">
        <f>(A55)+(K53)</f>
        <v>20</v>
      </c>
      <c r="B61" s="118">
        <f t="shared" si="27"/>
        <v>30</v>
      </c>
      <c r="C61" s="118">
        <f t="shared" si="28"/>
        <v>41600</v>
      </c>
      <c r="D61" s="118">
        <f t="shared" si="31"/>
        <v>12480</v>
      </c>
      <c r="E61" s="119">
        <f t="shared" si="29"/>
        <v>54080</v>
      </c>
      <c r="F61" s="120"/>
      <c r="G61" s="120"/>
      <c r="H61" s="120"/>
      <c r="I61" s="120"/>
      <c r="J61" s="120"/>
      <c r="K61" s="120" t="s">
        <v>18</v>
      </c>
      <c r="L61" s="120"/>
      <c r="M61" s="120"/>
      <c r="N61" s="120"/>
      <c r="O61" s="120"/>
      <c r="P61" s="6"/>
      <c r="Q61" s="6"/>
      <c r="R61" s="6"/>
      <c r="S61" s="28" t="s">
        <v>10</v>
      </c>
      <c r="T61" s="19">
        <v>26.22</v>
      </c>
      <c r="U61" s="19">
        <f t="shared" si="32"/>
        <v>5453.76</v>
      </c>
      <c r="V61" s="19">
        <f t="shared" si="24"/>
        <v>2726.88</v>
      </c>
      <c r="W61" s="19">
        <f t="shared" si="25"/>
        <v>1678.08</v>
      </c>
      <c r="X61" s="42">
        <f t="shared" si="26"/>
        <v>9858.7200000000012</v>
      </c>
      <c r="AA61"/>
    </row>
    <row r="62" spans="1:27" x14ac:dyDescent="0.25">
      <c r="A62" s="118">
        <f>(A55)+(L53)</f>
        <v>21</v>
      </c>
      <c r="B62" s="118">
        <f t="shared" si="27"/>
        <v>31.5</v>
      </c>
      <c r="C62" s="118">
        <f t="shared" si="28"/>
        <v>43680</v>
      </c>
      <c r="D62" s="118">
        <f t="shared" si="31"/>
        <v>13104</v>
      </c>
      <c r="E62" s="119">
        <f t="shared" si="29"/>
        <v>56784</v>
      </c>
      <c r="F62" s="120"/>
      <c r="G62" s="120"/>
      <c r="H62" s="120"/>
      <c r="I62" s="120"/>
      <c r="J62" s="120"/>
      <c r="K62" s="120"/>
      <c r="L62" s="120" t="s">
        <v>18</v>
      </c>
      <c r="M62" s="120"/>
      <c r="N62" s="120"/>
      <c r="O62" s="120"/>
      <c r="P62" s="6"/>
      <c r="Q62" s="6"/>
      <c r="R62" s="6"/>
      <c r="S62" s="28" t="s">
        <v>11</v>
      </c>
      <c r="T62" s="19">
        <v>27.36</v>
      </c>
      <c r="U62" s="19">
        <f t="shared" si="32"/>
        <v>5690.88</v>
      </c>
      <c r="V62" s="19">
        <f t="shared" si="24"/>
        <v>2845.44</v>
      </c>
      <c r="W62" s="19">
        <f t="shared" si="25"/>
        <v>1751.04</v>
      </c>
      <c r="X62" s="42">
        <f t="shared" si="26"/>
        <v>10287.36</v>
      </c>
      <c r="AA62"/>
    </row>
    <row r="63" spans="1:27" x14ac:dyDescent="0.25">
      <c r="A63" s="118">
        <f>(A55)+(M53)</f>
        <v>22</v>
      </c>
      <c r="B63" s="118">
        <f t="shared" si="27"/>
        <v>33</v>
      </c>
      <c r="C63" s="118">
        <f t="shared" si="28"/>
        <v>45760</v>
      </c>
      <c r="D63" s="118">
        <f t="shared" si="31"/>
        <v>13728</v>
      </c>
      <c r="E63" s="119">
        <f t="shared" si="29"/>
        <v>59488</v>
      </c>
      <c r="F63" s="120"/>
      <c r="G63" s="120"/>
      <c r="H63" s="120"/>
      <c r="I63" s="120"/>
      <c r="J63" s="120"/>
      <c r="K63" s="120"/>
      <c r="L63" s="120"/>
      <c r="M63" s="120" t="s">
        <v>18</v>
      </c>
      <c r="N63" s="120"/>
      <c r="O63" s="120"/>
      <c r="P63" s="6"/>
      <c r="Q63" s="6"/>
      <c r="R63" s="6"/>
      <c r="AA63"/>
    </row>
    <row r="64" spans="1:27" x14ac:dyDescent="0.25">
      <c r="A64" s="118">
        <f>(A55)+(N53)</f>
        <v>23</v>
      </c>
      <c r="B64" s="118">
        <f t="shared" si="27"/>
        <v>34.5</v>
      </c>
      <c r="C64" s="118">
        <f t="shared" si="28"/>
        <v>47840</v>
      </c>
      <c r="D64" s="118">
        <f t="shared" si="31"/>
        <v>14352</v>
      </c>
      <c r="E64" s="119">
        <f t="shared" si="29"/>
        <v>62192</v>
      </c>
      <c r="F64" s="120"/>
      <c r="G64" s="120"/>
      <c r="H64" s="120"/>
      <c r="I64" s="120"/>
      <c r="J64" s="120"/>
      <c r="K64" s="120"/>
      <c r="L64" s="120"/>
      <c r="M64" s="120"/>
      <c r="N64" s="120" t="s">
        <v>18</v>
      </c>
      <c r="O64" s="120"/>
      <c r="P64" s="6"/>
      <c r="Q64" s="6"/>
      <c r="R64" s="6"/>
      <c r="AA64"/>
    </row>
    <row r="65" spans="1:27" x14ac:dyDescent="0.25">
      <c r="A65" s="118">
        <f>(A55)+(O53)</f>
        <v>24</v>
      </c>
      <c r="B65" s="118">
        <f t="shared" si="27"/>
        <v>36</v>
      </c>
      <c r="C65" s="118">
        <f t="shared" si="28"/>
        <v>49920</v>
      </c>
      <c r="D65" s="118">
        <f t="shared" si="31"/>
        <v>14976</v>
      </c>
      <c r="E65" s="119">
        <f t="shared" si="29"/>
        <v>64896</v>
      </c>
      <c r="F65" s="121"/>
      <c r="G65" s="121"/>
      <c r="H65" s="121"/>
      <c r="I65" s="120"/>
      <c r="J65" s="120"/>
      <c r="K65" s="120"/>
      <c r="L65" s="120"/>
      <c r="M65" s="120"/>
      <c r="N65" s="120"/>
      <c r="O65" s="120" t="s">
        <v>18</v>
      </c>
      <c r="P65" s="6"/>
      <c r="Q65" s="6"/>
      <c r="R65" s="6"/>
      <c r="T65" s="35" t="s">
        <v>209</v>
      </c>
      <c r="U65" s="35" t="s">
        <v>37</v>
      </c>
      <c r="V65" s="35" t="s">
        <v>39</v>
      </c>
      <c r="W65" s="35" t="s">
        <v>30</v>
      </c>
      <c r="X65" s="39" t="s">
        <v>41</v>
      </c>
      <c r="AA65"/>
    </row>
    <row r="66" spans="1:27" x14ac:dyDescent="0.25">
      <c r="A66" s="122">
        <f t="shared" ref="A66:A76" si="33">(A55*0.1)+A55</f>
        <v>16.5</v>
      </c>
      <c r="B66" s="122">
        <f t="shared" si="27"/>
        <v>24.75</v>
      </c>
      <c r="C66" s="122">
        <f t="shared" si="28"/>
        <v>34320</v>
      </c>
      <c r="D66" s="122">
        <f>(B66)*416</f>
        <v>10296</v>
      </c>
      <c r="E66" s="123">
        <f t="shared" ref="E66:E76" si="34">SUM(C66,D66)</f>
        <v>44616</v>
      </c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 t="s">
        <v>18</v>
      </c>
      <c r="Q66" s="6"/>
      <c r="R66" s="6"/>
      <c r="S66" s="28" t="s">
        <v>38</v>
      </c>
      <c r="T66" s="20">
        <v>18.600000000000001</v>
      </c>
      <c r="U66" s="20">
        <v>0</v>
      </c>
      <c r="V66" s="20">
        <f>SUM(T66*104)</f>
        <v>1934.4</v>
      </c>
      <c r="W66" s="20">
        <f>SUM(T66*64)</f>
        <v>1190.4000000000001</v>
      </c>
      <c r="X66" s="43">
        <f>SUM(U66:W66)</f>
        <v>3124.8</v>
      </c>
      <c r="AA66"/>
    </row>
    <row r="67" spans="1:27" x14ac:dyDescent="0.25">
      <c r="A67" s="122">
        <f t="shared" si="33"/>
        <v>17.05</v>
      </c>
      <c r="B67" s="122">
        <f t="shared" si="27"/>
        <v>25.575000000000003</v>
      </c>
      <c r="C67" s="122">
        <f t="shared" si="28"/>
        <v>35464</v>
      </c>
      <c r="D67" s="122">
        <f t="shared" ref="D67:D76" si="35">(B67)*416</f>
        <v>10639.2</v>
      </c>
      <c r="E67" s="123">
        <f t="shared" si="34"/>
        <v>46103.199999999997</v>
      </c>
      <c r="F67" s="124" t="s">
        <v>18</v>
      </c>
      <c r="G67" s="124"/>
      <c r="H67" s="124"/>
      <c r="I67" s="124"/>
      <c r="J67" s="124"/>
      <c r="K67" s="124"/>
      <c r="L67" s="124"/>
      <c r="M67" s="124"/>
      <c r="N67" s="124"/>
      <c r="O67" s="124"/>
      <c r="P67" s="124" t="s">
        <v>18</v>
      </c>
      <c r="Q67" s="6"/>
      <c r="R67" s="6"/>
      <c r="S67" s="28" t="s">
        <v>2</v>
      </c>
      <c r="T67" s="20">
        <v>19.22</v>
      </c>
      <c r="U67" s="20">
        <f>SUM(T67*112)</f>
        <v>2152.64</v>
      </c>
      <c r="V67" s="20">
        <f t="shared" ref="V67:V76" si="36">SUM(T67*104)</f>
        <v>1998.8799999999999</v>
      </c>
      <c r="W67" s="20">
        <f t="shared" ref="W67:W76" si="37">SUM(T67*64)</f>
        <v>1230.08</v>
      </c>
      <c r="X67" s="43">
        <f t="shared" ref="X67:X76" si="38">SUM(U67:W67)</f>
        <v>5381.5999999999995</v>
      </c>
      <c r="AA67"/>
    </row>
    <row r="68" spans="1:27" x14ac:dyDescent="0.25">
      <c r="A68" s="122">
        <f t="shared" si="33"/>
        <v>17.875</v>
      </c>
      <c r="B68" s="122">
        <f t="shared" si="27"/>
        <v>26.8125</v>
      </c>
      <c r="C68" s="122">
        <f t="shared" si="28"/>
        <v>37180</v>
      </c>
      <c r="D68" s="122">
        <f t="shared" si="35"/>
        <v>11154</v>
      </c>
      <c r="E68" s="123">
        <f t="shared" si="34"/>
        <v>48334</v>
      </c>
      <c r="F68" s="124"/>
      <c r="G68" s="124" t="s">
        <v>18</v>
      </c>
      <c r="H68" s="124"/>
      <c r="I68" s="124"/>
      <c r="J68" s="124"/>
      <c r="K68" s="124"/>
      <c r="L68" s="124"/>
      <c r="M68" s="124"/>
      <c r="N68" s="124"/>
      <c r="O68" s="124"/>
      <c r="P68" s="124" t="s">
        <v>18</v>
      </c>
      <c r="Q68" s="6"/>
      <c r="R68" s="6"/>
      <c r="S68" s="28" t="s">
        <v>3</v>
      </c>
      <c r="T68" s="20">
        <v>20.149999999999999</v>
      </c>
      <c r="U68" s="20">
        <f>SUM(T68*160)</f>
        <v>3224</v>
      </c>
      <c r="V68" s="20">
        <f t="shared" si="36"/>
        <v>2095.6</v>
      </c>
      <c r="W68" s="20">
        <f t="shared" si="37"/>
        <v>1289.5999999999999</v>
      </c>
      <c r="X68" s="43">
        <f t="shared" si="38"/>
        <v>6609.2000000000007</v>
      </c>
      <c r="AA68"/>
    </row>
    <row r="69" spans="1:27" x14ac:dyDescent="0.25">
      <c r="A69" s="122">
        <f t="shared" si="33"/>
        <v>18.7</v>
      </c>
      <c r="B69" s="122">
        <f t="shared" si="27"/>
        <v>28.049999999999997</v>
      </c>
      <c r="C69" s="122">
        <f t="shared" si="28"/>
        <v>38896</v>
      </c>
      <c r="D69" s="122">
        <f t="shared" si="35"/>
        <v>11668.8</v>
      </c>
      <c r="E69" s="123">
        <f t="shared" si="34"/>
        <v>50564.800000000003</v>
      </c>
      <c r="F69" s="124"/>
      <c r="G69" s="124"/>
      <c r="H69" s="124" t="s">
        <v>18</v>
      </c>
      <c r="I69" s="124"/>
      <c r="J69" s="124"/>
      <c r="K69" s="124"/>
      <c r="L69" s="124"/>
      <c r="M69" s="124"/>
      <c r="N69" s="124"/>
      <c r="O69" s="124"/>
      <c r="P69" s="124" t="s">
        <v>18</v>
      </c>
      <c r="Q69" s="6"/>
      <c r="R69" s="6"/>
      <c r="S69" s="28" t="s">
        <v>4</v>
      </c>
      <c r="T69" s="20">
        <v>21.08</v>
      </c>
      <c r="U69" s="20">
        <f t="shared" ref="U69:U71" si="39">SUM(T69*160)</f>
        <v>3372.7999999999997</v>
      </c>
      <c r="V69" s="20">
        <f t="shared" si="36"/>
        <v>2192.3199999999997</v>
      </c>
      <c r="W69" s="20">
        <f t="shared" si="37"/>
        <v>1349.12</v>
      </c>
      <c r="X69" s="43">
        <f t="shared" si="38"/>
        <v>6914.2399999999989</v>
      </c>
      <c r="AA69"/>
    </row>
    <row r="70" spans="1:27" x14ac:dyDescent="0.25">
      <c r="A70" s="122">
        <f t="shared" si="33"/>
        <v>19.8</v>
      </c>
      <c r="B70" s="122">
        <f t="shared" si="27"/>
        <v>29.700000000000003</v>
      </c>
      <c r="C70" s="122">
        <f t="shared" si="28"/>
        <v>41184</v>
      </c>
      <c r="D70" s="122">
        <f t="shared" si="35"/>
        <v>12355.2</v>
      </c>
      <c r="E70" s="123">
        <f t="shared" si="34"/>
        <v>53539.199999999997</v>
      </c>
      <c r="F70" s="124"/>
      <c r="G70" s="124"/>
      <c r="H70" s="124"/>
      <c r="I70" s="124" t="s">
        <v>18</v>
      </c>
      <c r="J70" s="124"/>
      <c r="K70" s="124"/>
      <c r="L70" s="124"/>
      <c r="M70" s="124"/>
      <c r="N70" s="124"/>
      <c r="O70" s="124"/>
      <c r="P70" s="124" t="s">
        <v>18</v>
      </c>
      <c r="Q70" s="6"/>
      <c r="R70" s="6"/>
      <c r="S70" s="28" t="s">
        <v>5</v>
      </c>
      <c r="T70" s="20">
        <v>22.32</v>
      </c>
      <c r="U70" s="20">
        <f t="shared" si="39"/>
        <v>3571.2</v>
      </c>
      <c r="V70" s="20">
        <f t="shared" si="36"/>
        <v>2321.2800000000002</v>
      </c>
      <c r="W70" s="20">
        <f t="shared" si="37"/>
        <v>1428.48</v>
      </c>
      <c r="X70" s="43">
        <f t="shared" si="38"/>
        <v>7320.9599999999991</v>
      </c>
      <c r="AA70"/>
    </row>
    <row r="71" spans="1:27" x14ac:dyDescent="0.25">
      <c r="A71" s="122">
        <f t="shared" si="33"/>
        <v>20.9</v>
      </c>
      <c r="B71" s="122">
        <f t="shared" si="27"/>
        <v>31.349999999999998</v>
      </c>
      <c r="C71" s="122">
        <f t="shared" si="28"/>
        <v>43472</v>
      </c>
      <c r="D71" s="122">
        <f t="shared" si="35"/>
        <v>13041.599999999999</v>
      </c>
      <c r="E71" s="123">
        <f t="shared" si="34"/>
        <v>56513.599999999999</v>
      </c>
      <c r="F71" s="124"/>
      <c r="G71" s="124"/>
      <c r="H71" s="124"/>
      <c r="I71" s="124"/>
      <c r="J71" s="124" t="s">
        <v>18</v>
      </c>
      <c r="K71" s="124"/>
      <c r="L71" s="124"/>
      <c r="M71" s="124"/>
      <c r="N71" s="124"/>
      <c r="O71" s="124"/>
      <c r="P71" s="124" t="s">
        <v>18</v>
      </c>
      <c r="Q71" s="6"/>
      <c r="R71" s="6"/>
      <c r="S71" s="28" t="s">
        <v>6</v>
      </c>
      <c r="T71" s="20">
        <v>23.56</v>
      </c>
      <c r="U71" s="20">
        <f t="shared" si="39"/>
        <v>3769.6</v>
      </c>
      <c r="V71" s="20">
        <f t="shared" si="36"/>
        <v>2450.2399999999998</v>
      </c>
      <c r="W71" s="20">
        <f t="shared" si="37"/>
        <v>1507.84</v>
      </c>
      <c r="X71" s="43">
        <f t="shared" si="38"/>
        <v>7727.68</v>
      </c>
      <c r="AA71"/>
    </row>
    <row r="72" spans="1:27" x14ac:dyDescent="0.25">
      <c r="A72" s="122">
        <f t="shared" si="33"/>
        <v>22</v>
      </c>
      <c r="B72" s="122">
        <f t="shared" si="27"/>
        <v>33</v>
      </c>
      <c r="C72" s="122">
        <f t="shared" si="28"/>
        <v>45760</v>
      </c>
      <c r="D72" s="122">
        <f t="shared" si="35"/>
        <v>13728</v>
      </c>
      <c r="E72" s="123">
        <f t="shared" si="34"/>
        <v>59488</v>
      </c>
      <c r="F72" s="124"/>
      <c r="G72" s="124"/>
      <c r="H72" s="124"/>
      <c r="I72" s="124"/>
      <c r="J72" s="124"/>
      <c r="K72" s="124" t="s">
        <v>18</v>
      </c>
      <c r="L72" s="124"/>
      <c r="M72" s="124"/>
      <c r="N72" s="124"/>
      <c r="O72" s="124"/>
      <c r="P72" s="124" t="s">
        <v>18</v>
      </c>
      <c r="Q72" s="6"/>
      <c r="R72" s="6"/>
      <c r="S72" s="28" t="s">
        <v>7</v>
      </c>
      <c r="T72" s="20">
        <v>24.8</v>
      </c>
      <c r="U72" s="20">
        <f>SUM(T72*208)</f>
        <v>5158.4000000000005</v>
      </c>
      <c r="V72" s="20">
        <f t="shared" si="36"/>
        <v>2579.2000000000003</v>
      </c>
      <c r="W72" s="20">
        <f t="shared" si="37"/>
        <v>1587.2</v>
      </c>
      <c r="X72" s="43">
        <f t="shared" si="38"/>
        <v>9324.8000000000011</v>
      </c>
      <c r="AA72"/>
    </row>
    <row r="73" spans="1:27" x14ac:dyDescent="0.25">
      <c r="A73" s="122">
        <f t="shared" si="33"/>
        <v>23.1</v>
      </c>
      <c r="B73" s="122">
        <f t="shared" si="27"/>
        <v>34.650000000000006</v>
      </c>
      <c r="C73" s="122">
        <f t="shared" si="28"/>
        <v>48048</v>
      </c>
      <c r="D73" s="122">
        <f t="shared" si="35"/>
        <v>14414.400000000001</v>
      </c>
      <c r="E73" s="123">
        <f t="shared" si="34"/>
        <v>62462.400000000001</v>
      </c>
      <c r="F73" s="124"/>
      <c r="G73" s="124"/>
      <c r="H73" s="124"/>
      <c r="I73" s="124"/>
      <c r="J73" s="125"/>
      <c r="K73" s="124"/>
      <c r="L73" s="124" t="s">
        <v>18</v>
      </c>
      <c r="M73" s="124"/>
      <c r="N73" s="124"/>
      <c r="O73" s="124"/>
      <c r="P73" s="124" t="s">
        <v>18</v>
      </c>
      <c r="Q73" s="6"/>
      <c r="R73" s="6"/>
      <c r="S73" s="28" t="s">
        <v>8</v>
      </c>
      <c r="T73" s="20">
        <v>26.04</v>
      </c>
      <c r="U73" s="20">
        <f t="shared" ref="U73:U76" si="40">SUM(T73*208)</f>
        <v>5416.32</v>
      </c>
      <c r="V73" s="20">
        <f t="shared" si="36"/>
        <v>2708.16</v>
      </c>
      <c r="W73" s="20">
        <f t="shared" si="37"/>
        <v>1666.56</v>
      </c>
      <c r="X73" s="43">
        <f t="shared" si="38"/>
        <v>9791.0399999999991</v>
      </c>
      <c r="AA73"/>
    </row>
    <row r="74" spans="1:27" x14ac:dyDescent="0.25">
      <c r="A74" s="122">
        <f t="shared" si="33"/>
        <v>24.2</v>
      </c>
      <c r="B74" s="122">
        <f t="shared" si="27"/>
        <v>36.299999999999997</v>
      </c>
      <c r="C74" s="122">
        <f t="shared" si="28"/>
        <v>50336</v>
      </c>
      <c r="D74" s="122">
        <f t="shared" si="35"/>
        <v>15100.8</v>
      </c>
      <c r="E74" s="123">
        <f t="shared" si="34"/>
        <v>65436.800000000003</v>
      </c>
      <c r="F74" s="124"/>
      <c r="G74" s="124"/>
      <c r="H74" s="124"/>
      <c r="I74" s="124"/>
      <c r="J74" s="125"/>
      <c r="K74" s="124"/>
      <c r="L74" s="124"/>
      <c r="M74" s="124" t="s">
        <v>18</v>
      </c>
      <c r="N74" s="124"/>
      <c r="O74" s="124"/>
      <c r="P74" s="124" t="s">
        <v>18</v>
      </c>
      <c r="Q74" s="6"/>
      <c r="R74" s="6"/>
      <c r="S74" s="28" t="s">
        <v>9</v>
      </c>
      <c r="T74" s="20">
        <v>27.28</v>
      </c>
      <c r="U74" s="20">
        <f t="shared" si="40"/>
        <v>5674.24</v>
      </c>
      <c r="V74" s="20">
        <f t="shared" si="36"/>
        <v>2837.12</v>
      </c>
      <c r="W74" s="20">
        <f t="shared" si="37"/>
        <v>1745.92</v>
      </c>
      <c r="X74" s="43">
        <f t="shared" si="38"/>
        <v>10257.280000000001</v>
      </c>
      <c r="AA74"/>
    </row>
    <row r="75" spans="1:27" x14ac:dyDescent="0.25">
      <c r="A75" s="122">
        <f t="shared" si="33"/>
        <v>25.3</v>
      </c>
      <c r="B75" s="122">
        <f t="shared" si="27"/>
        <v>37.950000000000003</v>
      </c>
      <c r="C75" s="122">
        <f t="shared" si="28"/>
        <v>52624</v>
      </c>
      <c r="D75" s="122">
        <f t="shared" si="35"/>
        <v>15787.2</v>
      </c>
      <c r="E75" s="123">
        <f t="shared" si="34"/>
        <v>68411.199999999997</v>
      </c>
      <c r="F75" s="124"/>
      <c r="G75" s="124"/>
      <c r="H75" s="124"/>
      <c r="I75" s="124"/>
      <c r="J75" s="124"/>
      <c r="K75" s="124"/>
      <c r="L75" s="124"/>
      <c r="M75" s="124"/>
      <c r="N75" s="124" t="s">
        <v>18</v>
      </c>
      <c r="O75" s="124"/>
      <c r="P75" s="124" t="s">
        <v>18</v>
      </c>
      <c r="Q75" s="6"/>
      <c r="R75" s="6"/>
      <c r="S75" s="28" t="s">
        <v>10</v>
      </c>
      <c r="T75" s="20">
        <v>28.52</v>
      </c>
      <c r="U75" s="20">
        <f t="shared" si="40"/>
        <v>5932.16</v>
      </c>
      <c r="V75" s="20">
        <f t="shared" si="36"/>
        <v>2966.08</v>
      </c>
      <c r="W75" s="20">
        <f t="shared" si="37"/>
        <v>1825.28</v>
      </c>
      <c r="X75" s="43">
        <f t="shared" si="38"/>
        <v>10723.52</v>
      </c>
      <c r="AA75"/>
    </row>
    <row r="76" spans="1:27" x14ac:dyDescent="0.25">
      <c r="A76" s="122">
        <f t="shared" si="33"/>
        <v>26.4</v>
      </c>
      <c r="B76" s="122">
        <f t="shared" si="27"/>
        <v>39.599999999999994</v>
      </c>
      <c r="C76" s="122">
        <f t="shared" si="28"/>
        <v>54912</v>
      </c>
      <c r="D76" s="122">
        <f t="shared" si="35"/>
        <v>16473.599999999999</v>
      </c>
      <c r="E76" s="123">
        <f t="shared" si="34"/>
        <v>71385.600000000006</v>
      </c>
      <c r="F76" s="124"/>
      <c r="G76" s="124"/>
      <c r="H76" s="124"/>
      <c r="I76" s="124"/>
      <c r="J76" s="124"/>
      <c r="K76" s="124"/>
      <c r="L76" s="124"/>
      <c r="M76" s="124"/>
      <c r="N76" s="124"/>
      <c r="O76" s="124" t="s">
        <v>18</v>
      </c>
      <c r="P76" s="124" t="s">
        <v>18</v>
      </c>
      <c r="Q76" s="6"/>
      <c r="R76" s="6"/>
      <c r="S76" s="28" t="s">
        <v>11</v>
      </c>
      <c r="T76" s="20">
        <v>29.759999999999998</v>
      </c>
      <c r="U76" s="20">
        <f t="shared" si="40"/>
        <v>6190.08</v>
      </c>
      <c r="V76" s="20">
        <f t="shared" si="36"/>
        <v>3095.04</v>
      </c>
      <c r="W76" s="20">
        <f t="shared" si="37"/>
        <v>1904.6399999999999</v>
      </c>
      <c r="X76" s="43">
        <f t="shared" si="38"/>
        <v>11189.759999999998</v>
      </c>
      <c r="AA76"/>
    </row>
    <row r="77" spans="1:27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AA77"/>
    </row>
    <row r="78" spans="1:27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T78" s="35"/>
      <c r="AA78"/>
    </row>
    <row r="79" spans="1:27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T79" s="35" t="s">
        <v>214</v>
      </c>
      <c r="U79" s="35" t="s">
        <v>37</v>
      </c>
      <c r="V79" s="35" t="s">
        <v>39</v>
      </c>
      <c r="W79" s="35" t="s">
        <v>30</v>
      </c>
      <c r="X79" s="39" t="s">
        <v>41</v>
      </c>
      <c r="AA79"/>
    </row>
    <row r="80" spans="1:27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S80" s="28" t="s">
        <v>38</v>
      </c>
      <c r="T80" s="118">
        <v>15</v>
      </c>
      <c r="U80" s="118">
        <v>0</v>
      </c>
      <c r="V80" s="118">
        <f>SUM(T80*104)</f>
        <v>1560</v>
      </c>
      <c r="W80" s="118">
        <f>SUM(T80*64)</f>
        <v>960</v>
      </c>
      <c r="X80" s="126">
        <f>SUM(U80:W80)</f>
        <v>2520</v>
      </c>
      <c r="AA80"/>
    </row>
    <row r="81" spans="1:27" x14ac:dyDescent="0.25">
      <c r="A81"/>
      <c r="B81"/>
      <c r="C81"/>
      <c r="D81"/>
      <c r="E81" s="159"/>
      <c r="F81" s="2"/>
      <c r="G81" s="2"/>
      <c r="H81" s="2"/>
      <c r="I81" s="2"/>
      <c r="J81" s="2"/>
      <c r="K81" s="2"/>
      <c r="L81" s="2"/>
      <c r="M81" s="2"/>
      <c r="N81" s="2"/>
      <c r="O81" s="2"/>
      <c r="S81" s="28" t="s">
        <v>2</v>
      </c>
      <c r="T81" s="118">
        <v>15.5</v>
      </c>
      <c r="U81" s="118">
        <f>SUM(T81*112)</f>
        <v>1736</v>
      </c>
      <c r="V81" s="118">
        <f t="shared" ref="V81:V90" si="41">SUM(T81*104)</f>
        <v>1612</v>
      </c>
      <c r="W81" s="118">
        <f t="shared" ref="W81:W90" si="42">SUM(T81*64)</f>
        <v>992</v>
      </c>
      <c r="X81" s="126">
        <f t="shared" ref="X81:X90" si="43">SUM(U81:W81)</f>
        <v>4340</v>
      </c>
      <c r="AA81"/>
    </row>
    <row r="82" spans="1:27" x14ac:dyDescent="0.25">
      <c r="A82"/>
      <c r="B82"/>
      <c r="C82"/>
      <c r="D82"/>
      <c r="E82" s="2"/>
      <c r="F82" s="2"/>
      <c r="G82" s="29"/>
      <c r="H82" s="2"/>
      <c r="I82" s="2"/>
      <c r="J82" s="2"/>
      <c r="K82" s="2"/>
      <c r="L82" s="2"/>
      <c r="M82" s="2"/>
      <c r="N82" s="2"/>
      <c r="O82" s="2"/>
      <c r="S82" s="28" t="s">
        <v>3</v>
      </c>
      <c r="T82" s="118">
        <v>16.25</v>
      </c>
      <c r="U82" s="118">
        <f>SUM(T82*160)</f>
        <v>2600</v>
      </c>
      <c r="V82" s="118">
        <f t="shared" si="41"/>
        <v>1690</v>
      </c>
      <c r="W82" s="118">
        <f t="shared" si="42"/>
        <v>1040</v>
      </c>
      <c r="X82" s="126">
        <f t="shared" si="43"/>
        <v>5330</v>
      </c>
      <c r="AA82"/>
    </row>
    <row r="83" spans="1:27" x14ac:dyDescent="0.25">
      <c r="A83"/>
      <c r="B83"/>
      <c r="C83"/>
      <c r="D8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S83" s="28" t="s">
        <v>4</v>
      </c>
      <c r="T83" s="118">
        <v>17</v>
      </c>
      <c r="U83" s="118">
        <f t="shared" ref="U83:U85" si="44">SUM(T83*160)</f>
        <v>2720</v>
      </c>
      <c r="V83" s="118">
        <f t="shared" si="41"/>
        <v>1768</v>
      </c>
      <c r="W83" s="118">
        <f t="shared" si="42"/>
        <v>1088</v>
      </c>
      <c r="X83" s="126">
        <f t="shared" si="43"/>
        <v>5576</v>
      </c>
      <c r="AA83"/>
    </row>
    <row r="84" spans="1:27" x14ac:dyDescent="0.25">
      <c r="A84"/>
      <c r="B84"/>
      <c r="C84"/>
      <c r="D8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S84" s="28" t="s">
        <v>5</v>
      </c>
      <c r="T84" s="118">
        <v>18</v>
      </c>
      <c r="U84" s="118">
        <f t="shared" si="44"/>
        <v>2880</v>
      </c>
      <c r="V84" s="118">
        <f t="shared" si="41"/>
        <v>1872</v>
      </c>
      <c r="W84" s="118">
        <f t="shared" si="42"/>
        <v>1152</v>
      </c>
      <c r="X84" s="126">
        <f t="shared" si="43"/>
        <v>5904</v>
      </c>
      <c r="AA84"/>
    </row>
    <row r="85" spans="1:27" x14ac:dyDescent="0.25">
      <c r="A85"/>
      <c r="B85"/>
      <c r="C85"/>
      <c r="D8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S85" s="28" t="s">
        <v>6</v>
      </c>
      <c r="T85" s="118">
        <v>19</v>
      </c>
      <c r="U85" s="118">
        <f t="shared" si="44"/>
        <v>3040</v>
      </c>
      <c r="V85" s="118">
        <f t="shared" si="41"/>
        <v>1976</v>
      </c>
      <c r="W85" s="118">
        <f t="shared" si="42"/>
        <v>1216</v>
      </c>
      <c r="X85" s="126">
        <f t="shared" si="43"/>
        <v>6232</v>
      </c>
      <c r="AA85"/>
    </row>
    <row r="86" spans="1:27" x14ac:dyDescent="0.25">
      <c r="A86"/>
      <c r="B86"/>
      <c r="C86"/>
      <c r="D8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S86" s="28" t="s">
        <v>7</v>
      </c>
      <c r="T86" s="118">
        <v>20</v>
      </c>
      <c r="U86" s="118">
        <f>SUM(T86*208)</f>
        <v>4160</v>
      </c>
      <c r="V86" s="118">
        <f t="shared" si="41"/>
        <v>2080</v>
      </c>
      <c r="W86" s="118">
        <f t="shared" si="42"/>
        <v>1280</v>
      </c>
      <c r="X86" s="126">
        <f t="shared" si="43"/>
        <v>7520</v>
      </c>
      <c r="AA86"/>
    </row>
    <row r="87" spans="1:27" x14ac:dyDescent="0.25">
      <c r="A87"/>
      <c r="B87"/>
      <c r="C87"/>
      <c r="D8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S87" s="28" t="s">
        <v>8</v>
      </c>
      <c r="T87" s="118">
        <v>21</v>
      </c>
      <c r="U87" s="118">
        <f t="shared" ref="U87:U90" si="45">SUM(T87*208)</f>
        <v>4368</v>
      </c>
      <c r="V87" s="118">
        <f t="shared" si="41"/>
        <v>2184</v>
      </c>
      <c r="W87" s="118">
        <f t="shared" si="42"/>
        <v>1344</v>
      </c>
      <c r="X87" s="126">
        <f t="shared" si="43"/>
        <v>7896</v>
      </c>
      <c r="AA87"/>
    </row>
    <row r="88" spans="1:27" x14ac:dyDescent="0.25">
      <c r="A88"/>
      <c r="B88"/>
      <c r="C88"/>
      <c r="D8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S88" s="28" t="s">
        <v>9</v>
      </c>
      <c r="T88" s="118">
        <v>22</v>
      </c>
      <c r="U88" s="118">
        <f t="shared" si="45"/>
        <v>4576</v>
      </c>
      <c r="V88" s="118">
        <f t="shared" si="41"/>
        <v>2288</v>
      </c>
      <c r="W88" s="118">
        <f t="shared" si="42"/>
        <v>1408</v>
      </c>
      <c r="X88" s="126">
        <f t="shared" si="43"/>
        <v>8272</v>
      </c>
      <c r="AA88"/>
    </row>
    <row r="89" spans="1:27" x14ac:dyDescent="0.25">
      <c r="A89"/>
      <c r="B89"/>
      <c r="C89"/>
      <c r="D89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S89" s="28" t="s">
        <v>10</v>
      </c>
      <c r="T89" s="118">
        <v>23</v>
      </c>
      <c r="U89" s="118">
        <f t="shared" si="45"/>
        <v>4784</v>
      </c>
      <c r="V89" s="118">
        <f t="shared" si="41"/>
        <v>2392</v>
      </c>
      <c r="W89" s="118">
        <f t="shared" si="42"/>
        <v>1472</v>
      </c>
      <c r="X89" s="126">
        <f t="shared" si="43"/>
        <v>8648</v>
      </c>
      <c r="AA89"/>
    </row>
    <row r="90" spans="1:27" x14ac:dyDescent="0.25">
      <c r="A90"/>
      <c r="B90"/>
      <c r="C90"/>
      <c r="D90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S90" s="28" t="s">
        <v>11</v>
      </c>
      <c r="T90" s="118">
        <v>24</v>
      </c>
      <c r="U90" s="118">
        <f t="shared" si="45"/>
        <v>4992</v>
      </c>
      <c r="V90" s="118">
        <f t="shared" si="41"/>
        <v>2496</v>
      </c>
      <c r="W90" s="118">
        <f t="shared" si="42"/>
        <v>1536</v>
      </c>
      <c r="X90" s="126">
        <f t="shared" si="43"/>
        <v>9024</v>
      </c>
      <c r="AA90"/>
    </row>
    <row r="91" spans="1:27" x14ac:dyDescent="0.25">
      <c r="A91"/>
      <c r="B91"/>
      <c r="C91"/>
      <c r="D9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AA91"/>
    </row>
    <row r="92" spans="1:27" x14ac:dyDescent="0.25">
      <c r="A92"/>
      <c r="B92"/>
      <c r="C92"/>
      <c r="D9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AA92"/>
    </row>
    <row r="93" spans="1:27" x14ac:dyDescent="0.25">
      <c r="A93"/>
      <c r="B93"/>
      <c r="C93"/>
      <c r="D9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T93" s="35" t="s">
        <v>210</v>
      </c>
      <c r="U93" s="35" t="s">
        <v>37</v>
      </c>
      <c r="V93" s="35" t="s">
        <v>39</v>
      </c>
      <c r="W93" s="35" t="s">
        <v>30</v>
      </c>
      <c r="X93" s="39" t="s">
        <v>41</v>
      </c>
    </row>
    <row r="94" spans="1:27" x14ac:dyDescent="0.25">
      <c r="A94"/>
      <c r="B94"/>
      <c r="C94"/>
      <c r="D9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S94" s="28" t="s">
        <v>38</v>
      </c>
      <c r="T94" s="122">
        <v>16.5</v>
      </c>
      <c r="U94" s="122">
        <v>0</v>
      </c>
      <c r="V94" s="122">
        <f>SUM(T94*104)</f>
        <v>1716</v>
      </c>
      <c r="W94" s="122">
        <f>SUM(T94*64)</f>
        <v>1056</v>
      </c>
      <c r="X94" s="127">
        <f>SUM(U94:W94)</f>
        <v>2772</v>
      </c>
    </row>
    <row r="95" spans="1:27" x14ac:dyDescent="0.25">
      <c r="A95"/>
      <c r="B95"/>
      <c r="C95"/>
      <c r="D9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S95" s="28" t="s">
        <v>2</v>
      </c>
      <c r="T95" s="122">
        <v>17.05</v>
      </c>
      <c r="U95" s="122">
        <f>SUM(T95*112)</f>
        <v>1909.6000000000001</v>
      </c>
      <c r="V95" s="122">
        <f t="shared" ref="V95:V104" si="46">SUM(T95*104)</f>
        <v>1773.2</v>
      </c>
      <c r="W95" s="122">
        <f t="shared" ref="W95:W104" si="47">SUM(T95*64)</f>
        <v>1091.2</v>
      </c>
      <c r="X95" s="127">
        <f t="shared" ref="X95:X104" si="48">SUM(U95:W95)</f>
        <v>4774</v>
      </c>
    </row>
    <row r="96" spans="1:27" x14ac:dyDescent="0.25">
      <c r="A96"/>
      <c r="B96"/>
      <c r="C96"/>
      <c r="D9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S96" s="28" t="s">
        <v>3</v>
      </c>
      <c r="T96" s="122">
        <v>17.875</v>
      </c>
      <c r="U96" s="122">
        <f>SUM(T96*160)</f>
        <v>2860</v>
      </c>
      <c r="V96" s="122">
        <f t="shared" si="46"/>
        <v>1859</v>
      </c>
      <c r="W96" s="122">
        <f t="shared" si="47"/>
        <v>1144</v>
      </c>
      <c r="X96" s="127">
        <f t="shared" si="48"/>
        <v>5863</v>
      </c>
    </row>
    <row r="97" spans="1:27" x14ac:dyDescent="0.25">
      <c r="A97"/>
      <c r="B97"/>
      <c r="C97"/>
      <c r="D9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/>
      <c r="Q97"/>
      <c r="R97"/>
      <c r="S97" s="28" t="s">
        <v>4</v>
      </c>
      <c r="T97" s="122">
        <v>18.7</v>
      </c>
      <c r="U97" s="122">
        <f t="shared" ref="U97:U99" si="49">SUM(T97*160)</f>
        <v>2992</v>
      </c>
      <c r="V97" s="122">
        <f t="shared" si="46"/>
        <v>1944.8</v>
      </c>
      <c r="W97" s="122">
        <f t="shared" si="47"/>
        <v>1196.8</v>
      </c>
      <c r="X97" s="127">
        <f t="shared" si="48"/>
        <v>6133.6</v>
      </c>
    </row>
    <row r="98" spans="1:27" x14ac:dyDescent="0.25">
      <c r="A98"/>
      <c r="B98"/>
      <c r="C98"/>
      <c r="D9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/>
      <c r="Q98"/>
      <c r="R98"/>
      <c r="S98" s="28" t="s">
        <v>5</v>
      </c>
      <c r="T98" s="122">
        <v>19.8</v>
      </c>
      <c r="U98" s="122">
        <f t="shared" si="49"/>
        <v>3168</v>
      </c>
      <c r="V98" s="122">
        <f t="shared" si="46"/>
        <v>2059.2000000000003</v>
      </c>
      <c r="W98" s="122">
        <f t="shared" si="47"/>
        <v>1267.2</v>
      </c>
      <c r="X98" s="127">
        <f t="shared" si="48"/>
        <v>6494.4000000000005</v>
      </c>
    </row>
    <row r="99" spans="1:27" x14ac:dyDescent="0.25">
      <c r="A99"/>
      <c r="B99"/>
      <c r="C99"/>
      <c r="D99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/>
      <c r="Q99"/>
      <c r="R99"/>
      <c r="S99" s="28" t="s">
        <v>6</v>
      </c>
      <c r="T99" s="122">
        <v>20.9</v>
      </c>
      <c r="U99" s="122">
        <f t="shared" si="49"/>
        <v>3344</v>
      </c>
      <c r="V99" s="122">
        <f t="shared" si="46"/>
        <v>2173.6</v>
      </c>
      <c r="W99" s="122">
        <f t="shared" si="47"/>
        <v>1337.6</v>
      </c>
      <c r="X99" s="127">
        <f t="shared" si="48"/>
        <v>6855.2000000000007</v>
      </c>
      <c r="AA99"/>
    </row>
    <row r="100" spans="1:27" x14ac:dyDescent="0.25">
      <c r="A100"/>
      <c r="B100"/>
      <c r="C100"/>
      <c r="D10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/>
      <c r="Q100"/>
      <c r="R100"/>
      <c r="S100" s="28" t="s">
        <v>7</v>
      </c>
      <c r="T100" s="122">
        <v>22</v>
      </c>
      <c r="U100" s="122">
        <f>SUM(T100*208)</f>
        <v>4576</v>
      </c>
      <c r="V100" s="122">
        <f t="shared" si="46"/>
        <v>2288</v>
      </c>
      <c r="W100" s="122">
        <f t="shared" si="47"/>
        <v>1408</v>
      </c>
      <c r="X100" s="127">
        <f t="shared" si="48"/>
        <v>8272</v>
      </c>
      <c r="AA100"/>
    </row>
    <row r="101" spans="1:27" x14ac:dyDescent="0.25">
      <c r="A101"/>
      <c r="B101"/>
      <c r="C101"/>
      <c r="D10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/>
      <c r="Q101"/>
      <c r="R101"/>
      <c r="S101" s="28" t="s">
        <v>8</v>
      </c>
      <c r="T101" s="122">
        <v>23.1</v>
      </c>
      <c r="U101" s="122">
        <f t="shared" ref="U101:U104" si="50">SUM(T101*208)</f>
        <v>4804.8</v>
      </c>
      <c r="V101" s="122">
        <f t="shared" si="46"/>
        <v>2402.4</v>
      </c>
      <c r="W101" s="122">
        <f t="shared" si="47"/>
        <v>1478.4</v>
      </c>
      <c r="X101" s="127">
        <f t="shared" si="48"/>
        <v>8685.6</v>
      </c>
      <c r="AA101"/>
    </row>
    <row r="102" spans="1:27" x14ac:dyDescent="0.25">
      <c r="A102"/>
      <c r="B102"/>
      <c r="C102"/>
      <c r="D10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/>
      <c r="Q102"/>
      <c r="R102"/>
      <c r="S102" s="28" t="s">
        <v>9</v>
      </c>
      <c r="T102" s="122">
        <v>24.2</v>
      </c>
      <c r="U102" s="122">
        <f t="shared" si="50"/>
        <v>5033.5999999999995</v>
      </c>
      <c r="V102" s="122">
        <f t="shared" si="46"/>
        <v>2516.7999999999997</v>
      </c>
      <c r="W102" s="122">
        <f t="shared" si="47"/>
        <v>1548.8</v>
      </c>
      <c r="X102" s="127">
        <f t="shared" si="48"/>
        <v>9099.1999999999989</v>
      </c>
      <c r="AA102"/>
    </row>
    <row r="103" spans="1:27" x14ac:dyDescent="0.25">
      <c r="A103"/>
      <c r="B103"/>
      <c r="C103"/>
      <c r="D10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/>
      <c r="Q103"/>
      <c r="R103"/>
      <c r="S103" s="28" t="s">
        <v>10</v>
      </c>
      <c r="T103" s="122">
        <v>25.3</v>
      </c>
      <c r="U103" s="122">
        <f t="shared" si="50"/>
        <v>5262.4000000000005</v>
      </c>
      <c r="V103" s="122">
        <f t="shared" si="46"/>
        <v>2631.2000000000003</v>
      </c>
      <c r="W103" s="122">
        <f t="shared" si="47"/>
        <v>1619.2</v>
      </c>
      <c r="X103" s="127">
        <f t="shared" si="48"/>
        <v>9512.8000000000011</v>
      </c>
      <c r="AA103"/>
    </row>
    <row r="104" spans="1:27" x14ac:dyDescent="0.25">
      <c r="A104"/>
      <c r="B104"/>
      <c r="C104"/>
      <c r="D10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  <c r="Q104"/>
      <c r="R104"/>
      <c r="S104" s="28" t="s">
        <v>11</v>
      </c>
      <c r="T104" s="122">
        <v>26.4</v>
      </c>
      <c r="U104" s="122">
        <f t="shared" si="50"/>
        <v>5491.2</v>
      </c>
      <c r="V104" s="122">
        <f t="shared" si="46"/>
        <v>2745.6</v>
      </c>
      <c r="W104" s="122">
        <f t="shared" si="47"/>
        <v>1689.6</v>
      </c>
      <c r="X104" s="127">
        <f t="shared" si="48"/>
        <v>9926.4</v>
      </c>
      <c r="AA104"/>
    </row>
    <row r="105" spans="1:27" x14ac:dyDescent="0.25">
      <c r="A105"/>
      <c r="B105"/>
      <c r="C105"/>
      <c r="D10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/>
      <c r="Q105"/>
      <c r="R105"/>
      <c r="AA105"/>
    </row>
    <row r="106" spans="1:27" x14ac:dyDescent="0.25">
      <c r="A106"/>
      <c r="B106"/>
      <c r="C106"/>
      <c r="D10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/>
      <c r="Q106"/>
      <c r="R106"/>
      <c r="AA106"/>
    </row>
    <row r="107" spans="1:27" x14ac:dyDescent="0.25">
      <c r="A107"/>
      <c r="B107"/>
      <c r="C107"/>
      <c r="D10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/>
      <c r="Q107"/>
      <c r="R107"/>
      <c r="AA107"/>
    </row>
    <row r="108" spans="1:27" x14ac:dyDescent="0.25">
      <c r="A108"/>
      <c r="B108"/>
      <c r="C108"/>
      <c r="D10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/>
      <c r="Q108"/>
      <c r="R108"/>
      <c r="AA108"/>
    </row>
    <row r="109" spans="1:27" x14ac:dyDescent="0.25">
      <c r="A109"/>
      <c r="B109"/>
      <c r="C109"/>
      <c r="D109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/>
      <c r="Q109"/>
      <c r="R109"/>
      <c r="AA109"/>
    </row>
    <row r="110" spans="1:27" x14ac:dyDescent="0.25">
      <c r="A110"/>
      <c r="B110"/>
      <c r="C110"/>
      <c r="D110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/>
      <c r="Q110"/>
      <c r="R110"/>
      <c r="AA110"/>
    </row>
    <row r="111" spans="1:27" x14ac:dyDescent="0.25">
      <c r="A111"/>
      <c r="B111"/>
      <c r="C111"/>
      <c r="D11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  <c r="Q111"/>
      <c r="R111"/>
      <c r="AA111"/>
    </row>
    <row r="112" spans="1:27" x14ac:dyDescent="0.25">
      <c r="A112"/>
      <c r="B112"/>
      <c r="C112"/>
      <c r="D11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/>
      <c r="Q112"/>
      <c r="R112"/>
      <c r="AA112"/>
    </row>
    <row r="113" spans="1:27" x14ac:dyDescent="0.25">
      <c r="A113"/>
      <c r="B113"/>
      <c r="C113"/>
      <c r="D11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/>
      <c r="Q113"/>
      <c r="R113"/>
      <c r="AA113"/>
    </row>
    <row r="114" spans="1:27" x14ac:dyDescent="0.25">
      <c r="A114"/>
      <c r="B114"/>
      <c r="C114"/>
      <c r="D11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/>
      <c r="Q114"/>
      <c r="R114"/>
      <c r="AA114"/>
    </row>
    <row r="115" spans="1:27" x14ac:dyDescent="0.25">
      <c r="A115"/>
      <c r="B115"/>
      <c r="C115"/>
      <c r="D11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/>
      <c r="Q115"/>
      <c r="R115"/>
      <c r="AA115"/>
    </row>
    <row r="116" spans="1:27" x14ac:dyDescent="0.25">
      <c r="A116"/>
      <c r="B116"/>
      <c r="C116"/>
      <c r="D11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/>
      <c r="Q116"/>
      <c r="R116"/>
      <c r="AA116"/>
    </row>
    <row r="117" spans="1:27" x14ac:dyDescent="0.25">
      <c r="A117"/>
      <c r="B117"/>
      <c r="C117"/>
      <c r="D11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/>
      <c r="Q117"/>
      <c r="R117"/>
      <c r="AA117"/>
    </row>
    <row r="118" spans="1:27" x14ac:dyDescent="0.25">
      <c r="A118"/>
      <c r="B118"/>
      <c r="C118"/>
      <c r="D11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  <c r="Q118"/>
      <c r="R118"/>
      <c r="AA118"/>
    </row>
    <row r="119" spans="1:27" x14ac:dyDescent="0.25">
      <c r="A119"/>
      <c r="B119"/>
      <c r="C119"/>
      <c r="D119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/>
      <c r="Q119"/>
      <c r="R119"/>
      <c r="AA119"/>
    </row>
    <row r="120" spans="1:27" x14ac:dyDescent="0.25">
      <c r="A120"/>
      <c r="B120"/>
      <c r="C120"/>
      <c r="D120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/>
      <c r="Q120"/>
      <c r="R120"/>
      <c r="AA120"/>
    </row>
    <row r="121" spans="1:27" x14ac:dyDescent="0.25">
      <c r="A121"/>
      <c r="B121"/>
      <c r="C121"/>
      <c r="D12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/>
      <c r="Q121"/>
      <c r="R121"/>
      <c r="AA121"/>
    </row>
    <row r="122" spans="1:27" x14ac:dyDescent="0.25">
      <c r="A122"/>
      <c r="B122"/>
      <c r="C122"/>
      <c r="D12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/>
      <c r="Q122"/>
      <c r="R122"/>
      <c r="AA122"/>
    </row>
    <row r="123" spans="1:27" x14ac:dyDescent="0.25">
      <c r="A123"/>
      <c r="B123"/>
      <c r="C123"/>
      <c r="D12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/>
      <c r="Q123"/>
      <c r="R123"/>
      <c r="AA123"/>
    </row>
    <row r="124" spans="1:27" x14ac:dyDescent="0.25">
      <c r="A124"/>
      <c r="B124"/>
      <c r="C124"/>
      <c r="D12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/>
      <c r="Q124"/>
      <c r="R124"/>
      <c r="AA124"/>
    </row>
    <row r="125" spans="1:27" x14ac:dyDescent="0.25">
      <c r="A125"/>
      <c r="B125"/>
      <c r="C125"/>
      <c r="D12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/>
      <c r="Q125"/>
      <c r="R125"/>
      <c r="AA125"/>
    </row>
    <row r="126" spans="1:27" x14ac:dyDescent="0.25">
      <c r="A126"/>
      <c r="B126"/>
      <c r="C126"/>
      <c r="D12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/>
      <c r="Q126"/>
      <c r="R126"/>
      <c r="AA126"/>
    </row>
    <row r="127" spans="1:27" x14ac:dyDescent="0.25">
      <c r="A127"/>
      <c r="B127"/>
      <c r="C127"/>
      <c r="D12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/>
      <c r="Q127"/>
      <c r="R127"/>
      <c r="AA127"/>
    </row>
    <row r="128" spans="1:27" x14ac:dyDescent="0.25">
      <c r="A128"/>
      <c r="B128"/>
      <c r="C128"/>
      <c r="D12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/>
      <c r="Q128"/>
      <c r="R128"/>
      <c r="AA128"/>
    </row>
    <row r="129" spans="1:27" x14ac:dyDescent="0.25">
      <c r="A129"/>
      <c r="B129"/>
      <c r="C129"/>
      <c r="D129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/>
      <c r="Q129"/>
      <c r="R129"/>
      <c r="AA129"/>
    </row>
    <row r="130" spans="1:27" x14ac:dyDescent="0.25">
      <c r="A130"/>
      <c r="B130"/>
      <c r="C130"/>
      <c r="D130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/>
      <c r="Q130"/>
      <c r="R130"/>
      <c r="AA130"/>
    </row>
    <row r="131" spans="1:27" x14ac:dyDescent="0.25">
      <c r="A131"/>
      <c r="B131"/>
      <c r="C131"/>
      <c r="D13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/>
      <c r="Q131"/>
      <c r="R131"/>
      <c r="AA131"/>
    </row>
    <row r="132" spans="1:27" x14ac:dyDescent="0.25">
      <c r="A132"/>
      <c r="B132"/>
      <c r="C132"/>
      <c r="D13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/>
      <c r="Q132"/>
      <c r="R132"/>
      <c r="AA132"/>
    </row>
    <row r="133" spans="1:27" x14ac:dyDescent="0.25">
      <c r="A133"/>
      <c r="B133"/>
      <c r="C133"/>
      <c r="D13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/>
      <c r="Q133"/>
      <c r="R133"/>
      <c r="AA133"/>
    </row>
    <row r="134" spans="1:27" x14ac:dyDescent="0.25">
      <c r="A134"/>
      <c r="B134"/>
      <c r="C134"/>
      <c r="D13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/>
      <c r="Q134"/>
      <c r="R134"/>
      <c r="AA134"/>
    </row>
    <row r="135" spans="1:27" x14ac:dyDescent="0.25">
      <c r="A135"/>
      <c r="B135"/>
      <c r="C135"/>
      <c r="D13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/>
      <c r="Q135"/>
      <c r="R135"/>
      <c r="AA135"/>
    </row>
    <row r="136" spans="1:27" x14ac:dyDescent="0.25">
      <c r="A136"/>
      <c r="B136"/>
      <c r="C136"/>
      <c r="D13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/>
      <c r="Q136"/>
      <c r="R136"/>
      <c r="AA136"/>
    </row>
    <row r="137" spans="1:27" x14ac:dyDescent="0.25">
      <c r="A137"/>
      <c r="B137"/>
      <c r="C137"/>
      <c r="D13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/>
      <c r="Q137"/>
      <c r="R137"/>
      <c r="AA137"/>
    </row>
    <row r="138" spans="1:27" x14ac:dyDescent="0.25">
      <c r="A138"/>
      <c r="B138"/>
      <c r="C138"/>
      <c r="D13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/>
      <c r="Q138"/>
      <c r="R138"/>
      <c r="AA138"/>
    </row>
    <row r="139" spans="1:27" x14ac:dyDescent="0.25">
      <c r="A139"/>
      <c r="B139"/>
      <c r="C139"/>
      <c r="D139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/>
      <c r="Q139"/>
      <c r="R139"/>
      <c r="AA139"/>
    </row>
    <row r="140" spans="1:27" x14ac:dyDescent="0.25">
      <c r="A140"/>
      <c r="B140"/>
      <c r="C140"/>
      <c r="D140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/>
      <c r="Q140"/>
      <c r="R140"/>
      <c r="AA140"/>
    </row>
    <row r="141" spans="1:27" x14ac:dyDescent="0.25">
      <c r="A141"/>
      <c r="B141"/>
      <c r="C141"/>
      <c r="D14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/>
      <c r="Q141"/>
      <c r="R141"/>
      <c r="AA141"/>
    </row>
    <row r="142" spans="1:27" x14ac:dyDescent="0.25">
      <c r="A142"/>
      <c r="B142"/>
      <c r="C142"/>
      <c r="D14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/>
      <c r="Q142"/>
      <c r="R142"/>
      <c r="AA142"/>
    </row>
    <row r="143" spans="1:27" x14ac:dyDescent="0.25">
      <c r="A143"/>
      <c r="B143"/>
      <c r="C143"/>
      <c r="D14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/>
      <c r="Q143"/>
      <c r="R143"/>
      <c r="AA143"/>
    </row>
    <row r="144" spans="1:27" x14ac:dyDescent="0.25">
      <c r="A144"/>
      <c r="B144"/>
      <c r="C144"/>
      <c r="D14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/>
      <c r="Q144"/>
      <c r="R144"/>
      <c r="AA144"/>
    </row>
    <row r="145" spans="1:27" x14ac:dyDescent="0.25">
      <c r="A145"/>
      <c r="B145"/>
      <c r="C145"/>
      <c r="D14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/>
      <c r="Q145"/>
      <c r="R145"/>
      <c r="AA145"/>
    </row>
    <row r="146" spans="1:27" x14ac:dyDescent="0.25">
      <c r="A146"/>
      <c r="B146"/>
      <c r="C146"/>
      <c r="D14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/>
      <c r="Q146"/>
      <c r="R146"/>
      <c r="AA146"/>
    </row>
    <row r="147" spans="1:27" x14ac:dyDescent="0.25">
      <c r="A147"/>
      <c r="B147"/>
      <c r="C147"/>
      <c r="D14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/>
      <c r="Q147"/>
      <c r="R147"/>
      <c r="AA147"/>
    </row>
    <row r="148" spans="1:27" x14ac:dyDescent="0.25">
      <c r="A148"/>
      <c r="B148"/>
      <c r="C148"/>
      <c r="D148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/>
      <c r="Q148"/>
      <c r="R148"/>
      <c r="AA148"/>
    </row>
    <row r="149" spans="1:27" x14ac:dyDescent="0.25">
      <c r="A149"/>
      <c r="B149"/>
      <c r="C149"/>
      <c r="D149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/>
      <c r="Q149"/>
      <c r="R149"/>
      <c r="AA149"/>
    </row>
    <row r="150" spans="1:27" x14ac:dyDescent="0.25">
      <c r="A150"/>
      <c r="B150"/>
      <c r="C150"/>
      <c r="D150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  <c r="Q150"/>
      <c r="R150"/>
      <c r="AA150"/>
    </row>
    <row r="151" spans="1:27" x14ac:dyDescent="0.25">
      <c r="A151"/>
      <c r="B151"/>
      <c r="C151"/>
      <c r="D15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/>
      <c r="Q151"/>
      <c r="R151"/>
      <c r="AA151"/>
    </row>
    <row r="152" spans="1:27" x14ac:dyDescent="0.25">
      <c r="A152"/>
      <c r="B152"/>
      <c r="C152"/>
      <c r="D15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/>
      <c r="Q152"/>
      <c r="R152"/>
      <c r="AA152"/>
    </row>
    <row r="153" spans="1:27" x14ac:dyDescent="0.25">
      <c r="A153"/>
      <c r="B153"/>
      <c r="C153"/>
      <c r="D15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/>
      <c r="Q153"/>
      <c r="R153"/>
      <c r="AA153"/>
    </row>
    <row r="154" spans="1:27" x14ac:dyDescent="0.25">
      <c r="A154"/>
      <c r="B154"/>
      <c r="C154"/>
      <c r="D15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/>
      <c r="Q154"/>
      <c r="R154"/>
      <c r="AA154"/>
    </row>
    <row r="155" spans="1:27" x14ac:dyDescent="0.25">
      <c r="A155"/>
      <c r="B155"/>
      <c r="C155"/>
      <c r="D155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/>
      <c r="Q155"/>
      <c r="R155"/>
      <c r="AA155"/>
    </row>
    <row r="156" spans="1:27" x14ac:dyDescent="0.25">
      <c r="A156"/>
      <c r="B156"/>
      <c r="C156"/>
      <c r="D15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/>
      <c r="Q156"/>
      <c r="R156"/>
      <c r="AA156"/>
    </row>
    <row r="157" spans="1:27" x14ac:dyDescent="0.25">
      <c r="A157"/>
      <c r="B157"/>
      <c r="C157"/>
      <c r="D15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  <c r="Q157"/>
      <c r="R157"/>
      <c r="AA157"/>
    </row>
    <row r="158" spans="1:27" x14ac:dyDescent="0.25">
      <c r="A158"/>
      <c r="B158"/>
      <c r="C158"/>
      <c r="D158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/>
      <c r="Q158"/>
      <c r="R158"/>
      <c r="AA158"/>
    </row>
    <row r="159" spans="1:27" x14ac:dyDescent="0.25">
      <c r="A159"/>
      <c r="B159"/>
      <c r="C159"/>
      <c r="D159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/>
      <c r="Q159"/>
      <c r="R159"/>
      <c r="AA159"/>
    </row>
    <row r="160" spans="1:27" x14ac:dyDescent="0.25">
      <c r="A160"/>
      <c r="B160"/>
      <c r="C160"/>
      <c r="D160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/>
      <c r="Q160"/>
      <c r="R160"/>
      <c r="AA160"/>
    </row>
    <row r="161" spans="1:27" x14ac:dyDescent="0.25">
      <c r="A161"/>
      <c r="B161"/>
      <c r="C161"/>
      <c r="D16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/>
      <c r="Q161"/>
      <c r="R161"/>
      <c r="AA161"/>
    </row>
    <row r="162" spans="1:27" x14ac:dyDescent="0.25">
      <c r="A162"/>
      <c r="B162"/>
      <c r="C162"/>
      <c r="D16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/>
      <c r="Q162"/>
      <c r="R162"/>
      <c r="AA162"/>
    </row>
    <row r="163" spans="1:27" x14ac:dyDescent="0.25">
      <c r="A163"/>
      <c r="B163"/>
      <c r="C163"/>
      <c r="D16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/>
      <c r="Q163"/>
      <c r="R163"/>
      <c r="AA163"/>
    </row>
    <row r="164" spans="1:27" x14ac:dyDescent="0.25">
      <c r="A164"/>
      <c r="B164"/>
      <c r="C164"/>
      <c r="D16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  <c r="Q164"/>
      <c r="R164"/>
      <c r="AA164"/>
    </row>
    <row r="165" spans="1:27" x14ac:dyDescent="0.25">
      <c r="A165"/>
      <c r="B165"/>
      <c r="C165"/>
      <c r="D165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/>
      <c r="Q165"/>
      <c r="R165"/>
      <c r="AA165"/>
    </row>
    <row r="166" spans="1:27" x14ac:dyDescent="0.25">
      <c r="A166"/>
      <c r="B166"/>
      <c r="C166"/>
      <c r="D16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/>
      <c r="Q166"/>
      <c r="R166"/>
      <c r="AA166"/>
    </row>
    <row r="167" spans="1:27" x14ac:dyDescent="0.25">
      <c r="A167"/>
      <c r="B167"/>
      <c r="C167"/>
      <c r="D16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/>
      <c r="Q167"/>
      <c r="R167"/>
      <c r="AA167"/>
    </row>
    <row r="168" spans="1:27" x14ac:dyDescent="0.25">
      <c r="A168"/>
      <c r="B168"/>
      <c r="C168"/>
      <c r="D168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/>
      <c r="Q168"/>
      <c r="R168"/>
      <c r="AA168"/>
    </row>
    <row r="169" spans="1:27" x14ac:dyDescent="0.25">
      <c r="A169"/>
      <c r="B169"/>
      <c r="C169"/>
      <c r="D169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/>
      <c r="Q169"/>
      <c r="R169"/>
      <c r="AA169"/>
    </row>
    <row r="170" spans="1:27" x14ac:dyDescent="0.25">
      <c r="A170"/>
      <c r="B170"/>
      <c r="C170"/>
      <c r="D170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/>
      <c r="Q170"/>
      <c r="R170"/>
      <c r="AA170"/>
    </row>
    <row r="171" spans="1:27" x14ac:dyDescent="0.25">
      <c r="A171"/>
      <c r="B171"/>
      <c r="C171"/>
      <c r="D17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/>
      <c r="Q171"/>
      <c r="R171"/>
      <c r="AA171"/>
    </row>
    <row r="172" spans="1:27" x14ac:dyDescent="0.25">
      <c r="A172"/>
      <c r="B172"/>
      <c r="C172"/>
      <c r="D17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/>
      <c r="Q172"/>
      <c r="R172"/>
      <c r="AA172"/>
    </row>
    <row r="173" spans="1:27" x14ac:dyDescent="0.25">
      <c r="A173"/>
      <c r="B173"/>
      <c r="C173"/>
      <c r="D17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/>
      <c r="Q173"/>
      <c r="R173"/>
      <c r="AA173"/>
    </row>
    <row r="174" spans="1:27" x14ac:dyDescent="0.25">
      <c r="A174"/>
      <c r="B174"/>
      <c r="C174"/>
      <c r="D17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/>
      <c r="Q174"/>
      <c r="R174"/>
      <c r="AA174"/>
    </row>
    <row r="175" spans="1:27" x14ac:dyDescent="0.25">
      <c r="A175"/>
      <c r="B175"/>
      <c r="C175"/>
      <c r="D17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/>
      <c r="Q175"/>
      <c r="R175"/>
      <c r="AA175"/>
    </row>
    <row r="176" spans="1:27" x14ac:dyDescent="0.25">
      <c r="A176"/>
      <c r="B176"/>
      <c r="C176"/>
      <c r="D17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/>
      <c r="Q176"/>
      <c r="R176"/>
      <c r="AA176"/>
    </row>
    <row r="177" spans="1:27" x14ac:dyDescent="0.25">
      <c r="A177"/>
      <c r="B177"/>
      <c r="C177"/>
      <c r="D1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/>
      <c r="Q177"/>
      <c r="R177"/>
      <c r="AA177"/>
    </row>
    <row r="178" spans="1:27" x14ac:dyDescent="0.25">
      <c r="A178"/>
      <c r="B178"/>
      <c r="C178"/>
      <c r="D178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/>
      <c r="Q178"/>
      <c r="R178"/>
      <c r="AA178"/>
    </row>
    <row r="179" spans="1:27" x14ac:dyDescent="0.25">
      <c r="A179"/>
      <c r="B179"/>
      <c r="C179"/>
      <c r="D179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/>
      <c r="Q179"/>
      <c r="R179"/>
      <c r="AA179"/>
    </row>
    <row r="180" spans="1:27" x14ac:dyDescent="0.25">
      <c r="A180"/>
      <c r="B180"/>
      <c r="C180"/>
      <c r="D180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/>
      <c r="Q180"/>
      <c r="R180"/>
      <c r="AA180"/>
    </row>
    <row r="181" spans="1:27" x14ac:dyDescent="0.25">
      <c r="A181"/>
      <c r="B181"/>
      <c r="C181"/>
      <c r="D18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/>
      <c r="Q181"/>
      <c r="R181"/>
      <c r="AA181"/>
    </row>
    <row r="182" spans="1:27" x14ac:dyDescent="0.25">
      <c r="A182"/>
      <c r="B182"/>
      <c r="C182"/>
      <c r="D18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/>
      <c r="Q182"/>
      <c r="R182"/>
      <c r="AA182"/>
    </row>
    <row r="183" spans="1:27" x14ac:dyDescent="0.25">
      <c r="A183"/>
      <c r="B183"/>
      <c r="C183"/>
      <c r="D18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/>
      <c r="Q183"/>
      <c r="R183"/>
      <c r="AA183"/>
    </row>
    <row r="184" spans="1:27" x14ac:dyDescent="0.25">
      <c r="A184"/>
      <c r="B184"/>
      <c r="C184"/>
      <c r="D18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/>
      <c r="Q184"/>
      <c r="R184"/>
      <c r="AA184"/>
    </row>
    <row r="185" spans="1:27" x14ac:dyDescent="0.25">
      <c r="A185"/>
      <c r="B185"/>
      <c r="C185"/>
      <c r="D18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/>
      <c r="Q185"/>
      <c r="R185"/>
      <c r="AA185"/>
    </row>
    <row r="186" spans="1:27" x14ac:dyDescent="0.25">
      <c r="A186"/>
      <c r="B186"/>
      <c r="C186"/>
      <c r="D18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/>
      <c r="Q186"/>
      <c r="R186"/>
      <c r="AA186"/>
    </row>
    <row r="187" spans="1:27" x14ac:dyDescent="0.25">
      <c r="A187"/>
      <c r="B187"/>
      <c r="C187"/>
      <c r="D18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/>
      <c r="Q187"/>
      <c r="R187"/>
      <c r="AA187"/>
    </row>
    <row r="188" spans="1:27" x14ac:dyDescent="0.25">
      <c r="A188"/>
      <c r="B188"/>
      <c r="C188"/>
      <c r="D188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/>
      <c r="Q188"/>
      <c r="R188"/>
      <c r="AA188"/>
    </row>
    <row r="189" spans="1:27" x14ac:dyDescent="0.25">
      <c r="A189"/>
      <c r="B189"/>
      <c r="C189"/>
      <c r="D189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/>
      <c r="Q189"/>
      <c r="R189"/>
      <c r="AA189"/>
    </row>
    <row r="190" spans="1:27" x14ac:dyDescent="0.25">
      <c r="A190"/>
      <c r="B190"/>
      <c r="C190"/>
      <c r="D190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/>
      <c r="Q190"/>
      <c r="R190"/>
      <c r="AA190"/>
    </row>
    <row r="191" spans="1:27" x14ac:dyDescent="0.25">
      <c r="A191"/>
      <c r="B191"/>
      <c r="C191"/>
      <c r="D19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/>
      <c r="Q191"/>
      <c r="R191"/>
      <c r="AA191"/>
    </row>
    <row r="192" spans="1:27" x14ac:dyDescent="0.25">
      <c r="A192"/>
      <c r="B192"/>
      <c r="C192"/>
      <c r="D19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/>
      <c r="Q192"/>
      <c r="R192"/>
      <c r="AA192"/>
    </row>
    <row r="193" spans="1:27" x14ac:dyDescent="0.25">
      <c r="A193"/>
      <c r="B193"/>
      <c r="C193"/>
      <c r="D19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/>
      <c r="Q193"/>
      <c r="R193"/>
      <c r="AA193"/>
    </row>
    <row r="194" spans="1:27" x14ac:dyDescent="0.25">
      <c r="A194"/>
      <c r="B194"/>
      <c r="C194"/>
      <c r="D19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/>
      <c r="Q194"/>
      <c r="R194"/>
      <c r="AA194"/>
    </row>
    <row r="195" spans="1:27" x14ac:dyDescent="0.25">
      <c r="A195"/>
      <c r="B195"/>
      <c r="C195"/>
      <c r="D195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/>
      <c r="Q195"/>
      <c r="R195"/>
      <c r="AA195"/>
    </row>
    <row r="196" spans="1:27" x14ac:dyDescent="0.25">
      <c r="A196"/>
      <c r="B196"/>
      <c r="C196"/>
      <c r="D19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/>
      <c r="Q196"/>
      <c r="R196"/>
      <c r="AA196"/>
    </row>
    <row r="197" spans="1:27" x14ac:dyDescent="0.25">
      <c r="A197"/>
      <c r="B197"/>
      <c r="C197"/>
      <c r="D19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/>
      <c r="Q197"/>
      <c r="R197"/>
      <c r="AA197"/>
    </row>
    <row r="198" spans="1:27" x14ac:dyDescent="0.25">
      <c r="A198"/>
      <c r="B198"/>
      <c r="C198"/>
      <c r="D198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/>
      <c r="Q198"/>
      <c r="R198"/>
      <c r="AA198"/>
    </row>
    <row r="199" spans="1:27" x14ac:dyDescent="0.25">
      <c r="A199"/>
      <c r="B199"/>
      <c r="C199"/>
      <c r="D199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  <c r="Q199"/>
      <c r="R199"/>
      <c r="AA199"/>
    </row>
    <row r="200" spans="1:27" x14ac:dyDescent="0.25">
      <c r="A200"/>
      <c r="B200"/>
      <c r="C200"/>
      <c r="D200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/>
      <c r="Q200"/>
      <c r="R200"/>
      <c r="AA200"/>
    </row>
    <row r="201" spans="1:27" x14ac:dyDescent="0.25">
      <c r="A201"/>
      <c r="B201"/>
      <c r="C201"/>
      <c r="D20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/>
      <c r="Q201"/>
      <c r="R201"/>
      <c r="AA201"/>
    </row>
    <row r="202" spans="1:27" x14ac:dyDescent="0.25">
      <c r="A202"/>
      <c r="B202"/>
      <c r="C202"/>
      <c r="D20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/>
      <c r="Q202"/>
      <c r="R202"/>
      <c r="AA202"/>
    </row>
    <row r="203" spans="1:27" x14ac:dyDescent="0.25">
      <c r="A203"/>
      <c r="B203"/>
      <c r="C203"/>
      <c r="D20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/>
      <c r="Q203"/>
      <c r="R203"/>
      <c r="AA203"/>
    </row>
    <row r="204" spans="1:27" x14ac:dyDescent="0.25">
      <c r="A204"/>
      <c r="B204"/>
      <c r="C204"/>
      <c r="D20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/>
      <c r="Q204"/>
      <c r="R204"/>
      <c r="AA204"/>
    </row>
    <row r="205" spans="1:27" x14ac:dyDescent="0.25">
      <c r="A205"/>
      <c r="B205"/>
      <c r="C205"/>
      <c r="D205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/>
      <c r="Q205"/>
      <c r="R205"/>
      <c r="AA205"/>
    </row>
    <row r="206" spans="1:27" x14ac:dyDescent="0.25">
      <c r="A206"/>
      <c r="B206"/>
      <c r="C206"/>
      <c r="D20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  <c r="Q206"/>
      <c r="R206"/>
      <c r="AA206"/>
    </row>
    <row r="207" spans="1:27" x14ac:dyDescent="0.25">
      <c r="A207"/>
      <c r="B207"/>
      <c r="C207"/>
      <c r="D20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/>
      <c r="Q207"/>
      <c r="R207"/>
      <c r="AA207"/>
    </row>
    <row r="208" spans="1:27" x14ac:dyDescent="0.25">
      <c r="A208"/>
      <c r="B208"/>
      <c r="C208"/>
      <c r="D208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/>
      <c r="Q208"/>
      <c r="R208"/>
      <c r="AA208"/>
    </row>
    <row r="209" spans="1:27" x14ac:dyDescent="0.25">
      <c r="A209"/>
      <c r="B209"/>
      <c r="C209"/>
      <c r="D209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/>
      <c r="Q209"/>
      <c r="R209"/>
      <c r="AA209"/>
    </row>
    <row r="210" spans="1:27" x14ac:dyDescent="0.25">
      <c r="A210"/>
      <c r="B210"/>
      <c r="C210"/>
      <c r="D210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/>
      <c r="Q210"/>
      <c r="R210"/>
      <c r="AA210"/>
    </row>
    <row r="211" spans="1:27" x14ac:dyDescent="0.25">
      <c r="A211"/>
      <c r="B211"/>
      <c r="C211"/>
      <c r="D21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/>
      <c r="Q211"/>
      <c r="R211"/>
      <c r="AA211"/>
    </row>
    <row r="212" spans="1:27" x14ac:dyDescent="0.25">
      <c r="A212"/>
      <c r="B212"/>
      <c r="C212"/>
      <c r="D21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/>
      <c r="Q212"/>
      <c r="R212"/>
      <c r="AA212"/>
    </row>
    <row r="213" spans="1:27" x14ac:dyDescent="0.25">
      <c r="A213"/>
      <c r="B213"/>
      <c r="C213"/>
      <c r="D21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  <c r="Q213"/>
      <c r="R213"/>
      <c r="AA213"/>
    </row>
    <row r="214" spans="1:27" x14ac:dyDescent="0.25">
      <c r="A214"/>
      <c r="B214"/>
      <c r="C214"/>
      <c r="D21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/>
      <c r="Q214"/>
      <c r="R214"/>
      <c r="AA214"/>
    </row>
    <row r="215" spans="1:27" x14ac:dyDescent="0.25">
      <c r="A215"/>
      <c r="B215"/>
      <c r="C215"/>
      <c r="D215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/>
      <c r="Q215"/>
      <c r="R215"/>
      <c r="AA215"/>
    </row>
    <row r="216" spans="1:27" x14ac:dyDescent="0.25">
      <c r="A216"/>
      <c r="B216"/>
      <c r="C216"/>
      <c r="D21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/>
      <c r="Q216"/>
      <c r="R216"/>
      <c r="AA216"/>
    </row>
    <row r="217" spans="1:27" x14ac:dyDescent="0.25">
      <c r="A217"/>
      <c r="B217"/>
      <c r="C217"/>
      <c r="D21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/>
      <c r="Q217"/>
      <c r="R217"/>
      <c r="AA217"/>
    </row>
    <row r="218" spans="1:27" x14ac:dyDescent="0.25">
      <c r="A218"/>
      <c r="B218"/>
      <c r="C218"/>
      <c r="D21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/>
      <c r="Q218"/>
      <c r="R218"/>
      <c r="AA218"/>
    </row>
    <row r="219" spans="1:27" x14ac:dyDescent="0.25">
      <c r="A219"/>
      <c r="B219"/>
      <c r="C219"/>
      <c r="D219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/>
      <c r="Q219"/>
      <c r="R219"/>
      <c r="AA219"/>
    </row>
    <row r="220" spans="1:27" x14ac:dyDescent="0.25">
      <c r="A220"/>
      <c r="B220"/>
      <c r="C220"/>
      <c r="D220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/>
      <c r="Q220"/>
      <c r="R220"/>
      <c r="AA220"/>
    </row>
    <row r="221" spans="1:27" x14ac:dyDescent="0.25">
      <c r="A221"/>
      <c r="B221"/>
      <c r="C221"/>
      <c r="D22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/>
      <c r="Q221"/>
      <c r="R221"/>
      <c r="AA221"/>
    </row>
    <row r="222" spans="1:27" x14ac:dyDescent="0.25">
      <c r="A222"/>
      <c r="B222"/>
      <c r="C222"/>
      <c r="D22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/>
      <c r="Q222"/>
      <c r="R222"/>
      <c r="AA222"/>
    </row>
    <row r="223" spans="1:27" x14ac:dyDescent="0.25">
      <c r="A223"/>
      <c r="B223"/>
      <c r="C223"/>
      <c r="D22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/>
      <c r="Q223"/>
      <c r="R223"/>
      <c r="AA223"/>
    </row>
    <row r="224" spans="1:27" x14ac:dyDescent="0.25">
      <c r="A224"/>
      <c r="B224"/>
      <c r="C224"/>
      <c r="D22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/>
      <c r="Q224"/>
      <c r="R224"/>
      <c r="AA224"/>
    </row>
    <row r="225" spans="1:27" x14ac:dyDescent="0.25">
      <c r="A225"/>
      <c r="B225"/>
      <c r="C225"/>
      <c r="D225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/>
      <c r="Q225"/>
      <c r="R225"/>
      <c r="AA225"/>
    </row>
    <row r="226" spans="1:27" x14ac:dyDescent="0.25">
      <c r="A226"/>
      <c r="B226"/>
      <c r="C226"/>
      <c r="D22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/>
      <c r="Q226"/>
      <c r="R226"/>
      <c r="AA226"/>
    </row>
    <row r="227" spans="1:27" x14ac:dyDescent="0.25">
      <c r="A227"/>
      <c r="B227"/>
      <c r="C227"/>
      <c r="D22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/>
      <c r="Q227"/>
      <c r="R227"/>
      <c r="AA227"/>
    </row>
    <row r="228" spans="1:27" x14ac:dyDescent="0.25">
      <c r="A228"/>
      <c r="B228"/>
      <c r="C228"/>
      <c r="D22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/>
      <c r="Q228"/>
      <c r="R228"/>
      <c r="AA228"/>
    </row>
    <row r="229" spans="1:27" x14ac:dyDescent="0.25">
      <c r="A229"/>
      <c r="B229"/>
      <c r="C229"/>
      <c r="D229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/>
      <c r="Q229"/>
      <c r="R229"/>
      <c r="AA229"/>
    </row>
    <row r="230" spans="1:27" x14ac:dyDescent="0.25">
      <c r="A230"/>
      <c r="B230"/>
      <c r="C230"/>
      <c r="D230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/>
      <c r="Q230"/>
      <c r="R230"/>
      <c r="AA230"/>
    </row>
    <row r="231" spans="1:27" x14ac:dyDescent="0.25">
      <c r="A231"/>
      <c r="B231"/>
      <c r="C231"/>
      <c r="D23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/>
      <c r="Q231"/>
      <c r="R231"/>
      <c r="AA231"/>
    </row>
    <row r="232" spans="1:27" x14ac:dyDescent="0.25">
      <c r="A232"/>
      <c r="B232"/>
      <c r="C232"/>
      <c r="D23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/>
      <c r="Q232"/>
      <c r="R232"/>
      <c r="AA232"/>
    </row>
    <row r="233" spans="1:27" x14ac:dyDescent="0.25">
      <c r="A233"/>
      <c r="B233"/>
      <c r="C233"/>
      <c r="D23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/>
      <c r="Q233"/>
      <c r="R233"/>
      <c r="AA233"/>
    </row>
    <row r="234" spans="1:27" x14ac:dyDescent="0.25">
      <c r="A234"/>
      <c r="B234"/>
      <c r="C234"/>
      <c r="D23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/>
      <c r="Q234"/>
      <c r="R234"/>
      <c r="AA234"/>
    </row>
    <row r="235" spans="1:27" x14ac:dyDescent="0.25">
      <c r="A235"/>
      <c r="B235"/>
      <c r="C235"/>
      <c r="D235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/>
      <c r="Q235"/>
      <c r="R235"/>
      <c r="AA235"/>
    </row>
    <row r="236" spans="1:27" x14ac:dyDescent="0.25">
      <c r="A236"/>
      <c r="B236"/>
      <c r="C236"/>
      <c r="D23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/>
      <c r="Q236"/>
      <c r="R236"/>
      <c r="AA236"/>
    </row>
    <row r="237" spans="1:27" x14ac:dyDescent="0.25">
      <c r="A237"/>
      <c r="B237"/>
      <c r="C237"/>
      <c r="D23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/>
      <c r="Q237"/>
      <c r="R237"/>
      <c r="AA237"/>
    </row>
    <row r="238" spans="1:27" x14ac:dyDescent="0.25">
      <c r="A238"/>
      <c r="B238"/>
      <c r="C238"/>
      <c r="D23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/>
      <c r="Q238"/>
      <c r="R238"/>
      <c r="AA238"/>
    </row>
    <row r="239" spans="1:27" x14ac:dyDescent="0.25">
      <c r="A239"/>
      <c r="B239"/>
      <c r="C239"/>
      <c r="D239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/>
      <c r="Q239"/>
      <c r="R239"/>
      <c r="AA239"/>
    </row>
    <row r="240" spans="1:27" x14ac:dyDescent="0.25">
      <c r="A240"/>
      <c r="B240"/>
      <c r="C240"/>
      <c r="D240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/>
      <c r="Q240"/>
      <c r="R240"/>
      <c r="AA240"/>
    </row>
    <row r="241" spans="1:27" x14ac:dyDescent="0.25">
      <c r="A241"/>
      <c r="B241"/>
      <c r="C241"/>
      <c r="D24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/>
      <c r="Q241"/>
      <c r="R241"/>
      <c r="AA241"/>
    </row>
    <row r="242" spans="1:27" x14ac:dyDescent="0.25">
      <c r="A242"/>
      <c r="B242"/>
      <c r="C242"/>
      <c r="D24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/>
      <c r="Q242"/>
      <c r="R242"/>
      <c r="AA242"/>
    </row>
    <row r="243" spans="1:27" x14ac:dyDescent="0.25">
      <c r="A243"/>
      <c r="B243"/>
      <c r="C243"/>
      <c r="D24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/>
      <c r="Q243"/>
      <c r="R243"/>
      <c r="AA243"/>
    </row>
    <row r="244" spans="1:27" x14ac:dyDescent="0.25">
      <c r="A244"/>
      <c r="B244"/>
      <c r="C244"/>
      <c r="D24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/>
      <c r="Q244"/>
      <c r="R244"/>
      <c r="AA244"/>
    </row>
    <row r="245" spans="1:27" x14ac:dyDescent="0.25">
      <c r="A245"/>
      <c r="B245"/>
      <c r="C245"/>
      <c r="D245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  <c r="Q245"/>
      <c r="R245"/>
      <c r="AA245"/>
    </row>
    <row r="246" spans="1:27" x14ac:dyDescent="0.25">
      <c r="A246"/>
      <c r="B246"/>
      <c r="C246"/>
      <c r="D24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/>
      <c r="Q246"/>
      <c r="R246"/>
      <c r="AA246"/>
    </row>
    <row r="247" spans="1:27" x14ac:dyDescent="0.25">
      <c r="A247"/>
      <c r="B247"/>
      <c r="C247"/>
      <c r="D24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/>
      <c r="Q247"/>
      <c r="R247"/>
      <c r="AA247"/>
    </row>
    <row r="248" spans="1:27" x14ac:dyDescent="0.25">
      <c r="A248"/>
      <c r="B248"/>
      <c r="C248"/>
      <c r="D24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/>
      <c r="Q248"/>
      <c r="R248"/>
      <c r="AA248"/>
    </row>
    <row r="249" spans="1:27" x14ac:dyDescent="0.25">
      <c r="A249"/>
      <c r="B249"/>
      <c r="C249"/>
      <c r="D249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/>
      <c r="Q249"/>
      <c r="R249"/>
      <c r="AA249"/>
    </row>
    <row r="250" spans="1:27" x14ac:dyDescent="0.25">
      <c r="A250"/>
      <c r="B250"/>
      <c r="C250"/>
      <c r="D250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/>
      <c r="Q250"/>
      <c r="R250"/>
      <c r="AA250"/>
    </row>
    <row r="251" spans="1:27" x14ac:dyDescent="0.25">
      <c r="A251"/>
      <c r="B251"/>
      <c r="C251"/>
      <c r="D25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/>
      <c r="Q251"/>
      <c r="R251"/>
      <c r="AA251"/>
    </row>
    <row r="252" spans="1:27" x14ac:dyDescent="0.25">
      <c r="A252"/>
      <c r="B252"/>
      <c r="C252"/>
      <c r="D25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  <c r="Q252"/>
      <c r="R252"/>
      <c r="AA252"/>
    </row>
    <row r="253" spans="1:27" x14ac:dyDescent="0.25">
      <c r="A253"/>
      <c r="B253"/>
      <c r="C253"/>
      <c r="D25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/>
      <c r="Q253"/>
      <c r="R253"/>
      <c r="AA253"/>
    </row>
    <row r="254" spans="1:27" x14ac:dyDescent="0.25">
      <c r="A254"/>
      <c r="B254"/>
      <c r="C254"/>
      <c r="D25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/>
      <c r="Q254"/>
      <c r="R254"/>
      <c r="AA254"/>
    </row>
    <row r="255" spans="1:27" x14ac:dyDescent="0.25">
      <c r="A255"/>
      <c r="B255"/>
      <c r="C255"/>
      <c r="D255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/>
      <c r="Q255"/>
      <c r="R255"/>
      <c r="AA255"/>
    </row>
    <row r="256" spans="1:27" x14ac:dyDescent="0.25">
      <c r="A256"/>
      <c r="B256"/>
      <c r="C256"/>
      <c r="D25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/>
      <c r="Q256"/>
      <c r="R256"/>
      <c r="AA256"/>
    </row>
    <row r="257" spans="1:27" x14ac:dyDescent="0.25">
      <c r="A257"/>
      <c r="B257"/>
      <c r="C257"/>
      <c r="D25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/>
      <c r="Q257"/>
      <c r="R257"/>
      <c r="AA257"/>
    </row>
    <row r="258" spans="1:27" x14ac:dyDescent="0.25">
      <c r="A258"/>
      <c r="B258"/>
      <c r="C258"/>
      <c r="D25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/>
      <c r="Q258"/>
      <c r="R258"/>
      <c r="AA258"/>
    </row>
    <row r="259" spans="1:27" x14ac:dyDescent="0.25">
      <c r="A259"/>
      <c r="B259"/>
      <c r="C259"/>
      <c r="D259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  <c r="Q259"/>
      <c r="R259"/>
      <c r="AA259"/>
    </row>
    <row r="260" spans="1:27" x14ac:dyDescent="0.25">
      <c r="A260"/>
      <c r="B260"/>
      <c r="C260"/>
      <c r="D260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/>
      <c r="Q260"/>
      <c r="R260"/>
      <c r="AA260"/>
    </row>
    <row r="261" spans="1:27" x14ac:dyDescent="0.25">
      <c r="A261"/>
      <c r="B261"/>
      <c r="C261"/>
      <c r="D26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/>
      <c r="Q261"/>
      <c r="R261"/>
      <c r="AA261"/>
    </row>
    <row r="262" spans="1:27" x14ac:dyDescent="0.25">
      <c r="A262"/>
      <c r="B262"/>
      <c r="C262"/>
      <c r="D26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/>
      <c r="Q262"/>
      <c r="R262"/>
      <c r="AA262"/>
    </row>
    <row r="263" spans="1:27" x14ac:dyDescent="0.25">
      <c r="A263"/>
      <c r="B263"/>
      <c r="C263"/>
      <c r="D26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/>
      <c r="Q263"/>
      <c r="R263"/>
      <c r="AA263"/>
    </row>
    <row r="264" spans="1:27" x14ac:dyDescent="0.25">
      <c r="A264"/>
      <c r="B264"/>
      <c r="C264"/>
      <c r="D26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/>
      <c r="Q264"/>
      <c r="R264"/>
      <c r="AA264"/>
    </row>
    <row r="265" spans="1:27" x14ac:dyDescent="0.25">
      <c r="A265"/>
      <c r="B265"/>
      <c r="C265"/>
      <c r="D265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/>
      <c r="Q265"/>
      <c r="R265"/>
      <c r="AA265"/>
    </row>
    <row r="266" spans="1:27" x14ac:dyDescent="0.25">
      <c r="A266"/>
      <c r="B266"/>
      <c r="C266"/>
      <c r="D26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/>
      <c r="Q266"/>
      <c r="R266"/>
      <c r="AA266"/>
    </row>
    <row r="267" spans="1:27" x14ac:dyDescent="0.25">
      <c r="A267"/>
      <c r="B267"/>
      <c r="C267"/>
      <c r="D267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/>
      <c r="Q267"/>
      <c r="R267"/>
      <c r="AA267"/>
    </row>
    <row r="268" spans="1:27" x14ac:dyDescent="0.25">
      <c r="A268"/>
      <c r="B268"/>
      <c r="C268"/>
      <c r="D268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/>
      <c r="Q268"/>
      <c r="R268"/>
      <c r="AA268"/>
    </row>
    <row r="269" spans="1:27" x14ac:dyDescent="0.25">
      <c r="A269"/>
      <c r="B269"/>
      <c r="C269"/>
      <c r="D269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/>
      <c r="Q269"/>
      <c r="R269"/>
      <c r="AA269"/>
    </row>
    <row r="270" spans="1:27" x14ac:dyDescent="0.25">
      <c r="A270"/>
      <c r="B270"/>
      <c r="C270"/>
      <c r="D270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/>
      <c r="Q270"/>
      <c r="R270"/>
      <c r="AA270"/>
    </row>
    <row r="271" spans="1:27" x14ac:dyDescent="0.25">
      <c r="A271"/>
      <c r="B271"/>
      <c r="C271"/>
      <c r="D27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/>
      <c r="Q271"/>
      <c r="R271"/>
      <c r="AA271"/>
    </row>
    <row r="272" spans="1:27" x14ac:dyDescent="0.25">
      <c r="A272"/>
      <c r="B272"/>
      <c r="C272"/>
      <c r="D27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/>
      <c r="Q272"/>
      <c r="R272"/>
      <c r="AA272"/>
    </row>
    <row r="273" spans="1:27" x14ac:dyDescent="0.25">
      <c r="A273"/>
      <c r="B273"/>
      <c r="C273"/>
      <c r="D27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/>
      <c r="Q273"/>
      <c r="R273"/>
      <c r="AA273"/>
    </row>
    <row r="274" spans="1:27" x14ac:dyDescent="0.25">
      <c r="A274"/>
      <c r="B274"/>
      <c r="C274"/>
      <c r="D27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/>
      <c r="Q274"/>
      <c r="R274"/>
      <c r="AA274"/>
    </row>
    <row r="275" spans="1:27" x14ac:dyDescent="0.25">
      <c r="A275"/>
      <c r="B275"/>
      <c r="C275"/>
      <c r="D27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/>
      <c r="Q275"/>
      <c r="R275"/>
      <c r="AA275"/>
    </row>
    <row r="276" spans="1:27" x14ac:dyDescent="0.25">
      <c r="A276"/>
      <c r="B276"/>
      <c r="C276"/>
      <c r="D27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/>
      <c r="Q276"/>
      <c r="R276"/>
      <c r="AA276"/>
    </row>
    <row r="277" spans="1:27" x14ac:dyDescent="0.25">
      <c r="A277"/>
      <c r="B277"/>
      <c r="C277"/>
      <c r="D277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/>
      <c r="Q277"/>
      <c r="R277"/>
      <c r="AA277"/>
    </row>
    <row r="278" spans="1:27" x14ac:dyDescent="0.25">
      <c r="A278"/>
      <c r="B278"/>
      <c r="C278"/>
      <c r="D278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/>
      <c r="Q278"/>
      <c r="R278"/>
      <c r="AA278"/>
    </row>
    <row r="279" spans="1:27" x14ac:dyDescent="0.25">
      <c r="A279"/>
      <c r="B279"/>
      <c r="C279"/>
      <c r="D279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/>
      <c r="Q279"/>
      <c r="R279"/>
      <c r="AA279"/>
    </row>
    <row r="280" spans="1:27" x14ac:dyDescent="0.25">
      <c r="A280"/>
      <c r="B280"/>
      <c r="C280"/>
      <c r="D280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/>
      <c r="Q280"/>
      <c r="R280"/>
      <c r="AA280"/>
    </row>
    <row r="281" spans="1:27" x14ac:dyDescent="0.25">
      <c r="A281"/>
      <c r="B281"/>
      <c r="C281"/>
      <c r="D28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/>
      <c r="Q281"/>
      <c r="R281"/>
      <c r="AA281"/>
    </row>
    <row r="282" spans="1:27" x14ac:dyDescent="0.25">
      <c r="A282"/>
      <c r="B282"/>
      <c r="C282"/>
      <c r="D28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/>
      <c r="Q282"/>
      <c r="R282"/>
      <c r="AA282"/>
    </row>
    <row r="283" spans="1:27" x14ac:dyDescent="0.25">
      <c r="A283"/>
      <c r="B283"/>
      <c r="C283"/>
      <c r="D28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/>
      <c r="Q283"/>
      <c r="R283"/>
      <c r="AA283"/>
    </row>
    <row r="284" spans="1:27" x14ac:dyDescent="0.25">
      <c r="A284"/>
      <c r="B284"/>
      <c r="C284"/>
      <c r="D28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/>
      <c r="Q284"/>
      <c r="R284"/>
      <c r="AA284"/>
    </row>
    <row r="285" spans="1:27" x14ac:dyDescent="0.25">
      <c r="A285"/>
      <c r="B285"/>
      <c r="C285"/>
      <c r="D285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/>
      <c r="Q285"/>
      <c r="R285"/>
      <c r="AA285"/>
    </row>
    <row r="286" spans="1:27" x14ac:dyDescent="0.25">
      <c r="A286"/>
      <c r="B286"/>
      <c r="C286"/>
      <c r="D28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/>
      <c r="Q286"/>
      <c r="R286"/>
      <c r="AA286"/>
    </row>
    <row r="287" spans="1:27" x14ac:dyDescent="0.25">
      <c r="A287"/>
      <c r="B287"/>
      <c r="C287"/>
      <c r="D287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/>
      <c r="Q287"/>
      <c r="R287"/>
      <c r="AA287"/>
    </row>
    <row r="288" spans="1:27" x14ac:dyDescent="0.25">
      <c r="A288"/>
      <c r="B288"/>
      <c r="C288"/>
      <c r="D288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/>
      <c r="Q288"/>
      <c r="R288"/>
      <c r="AA288"/>
    </row>
    <row r="289" spans="1:27" x14ac:dyDescent="0.25">
      <c r="A289"/>
      <c r="B289"/>
      <c r="C289"/>
      <c r="D289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/>
      <c r="Q289"/>
      <c r="R289"/>
      <c r="AA289"/>
    </row>
    <row r="290" spans="1:27" x14ac:dyDescent="0.25">
      <c r="A290"/>
      <c r="B290"/>
      <c r="C290"/>
      <c r="D290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/>
      <c r="Q290"/>
      <c r="R290"/>
      <c r="AA290"/>
    </row>
    <row r="291" spans="1:27" x14ac:dyDescent="0.25">
      <c r="A291"/>
      <c r="B291"/>
      <c r="C291"/>
      <c r="D29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  <c r="Q291"/>
      <c r="R291"/>
      <c r="AA291"/>
    </row>
    <row r="292" spans="1:27" x14ac:dyDescent="0.25">
      <c r="A292"/>
      <c r="B292"/>
      <c r="C292"/>
      <c r="D29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/>
      <c r="Q292"/>
      <c r="R292"/>
      <c r="AA292"/>
    </row>
    <row r="293" spans="1:27" x14ac:dyDescent="0.25">
      <c r="A293"/>
      <c r="B293"/>
      <c r="C293"/>
      <c r="D29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/>
      <c r="Q293"/>
      <c r="R293"/>
      <c r="AA293"/>
    </row>
    <row r="294" spans="1:27" x14ac:dyDescent="0.25">
      <c r="A294"/>
      <c r="B294"/>
      <c r="C294"/>
      <c r="D29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/>
      <c r="Q294"/>
      <c r="R294"/>
      <c r="AA294"/>
    </row>
    <row r="295" spans="1:27" x14ac:dyDescent="0.25">
      <c r="A295"/>
      <c r="B295"/>
      <c r="C295"/>
      <c r="D295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/>
      <c r="Q295"/>
      <c r="R295"/>
      <c r="AA295"/>
    </row>
    <row r="296" spans="1:27" x14ac:dyDescent="0.25">
      <c r="A296"/>
      <c r="B296"/>
      <c r="C296"/>
      <c r="D29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/>
      <c r="Q296"/>
      <c r="R296"/>
      <c r="AA296"/>
    </row>
    <row r="297" spans="1:27" x14ac:dyDescent="0.25">
      <c r="A297"/>
      <c r="B297"/>
      <c r="C297"/>
      <c r="D297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/>
      <c r="Q297"/>
      <c r="R297"/>
      <c r="AA297"/>
    </row>
    <row r="298" spans="1:27" x14ac:dyDescent="0.25">
      <c r="A298"/>
      <c r="B298"/>
      <c r="C298"/>
      <c r="D29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  <c r="Q298"/>
      <c r="R298"/>
      <c r="AA298"/>
    </row>
    <row r="299" spans="1:27" x14ac:dyDescent="0.25">
      <c r="A299"/>
      <c r="B299"/>
      <c r="C299"/>
      <c r="D299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/>
      <c r="Q299"/>
      <c r="R299"/>
      <c r="AA299"/>
    </row>
    <row r="300" spans="1:27" x14ac:dyDescent="0.25">
      <c r="A300"/>
      <c r="B300"/>
      <c r="C300"/>
      <c r="D300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/>
      <c r="Q300"/>
      <c r="R300"/>
      <c r="AA300"/>
    </row>
    <row r="301" spans="1:27" x14ac:dyDescent="0.25">
      <c r="A301"/>
      <c r="B301"/>
      <c r="C301"/>
      <c r="D30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/>
      <c r="Q301"/>
      <c r="R301"/>
      <c r="AA301"/>
    </row>
    <row r="302" spans="1:27" x14ac:dyDescent="0.25">
      <c r="A302"/>
      <c r="B302"/>
      <c r="C302"/>
      <c r="D30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/>
      <c r="Q302"/>
      <c r="R302"/>
      <c r="AA302"/>
    </row>
    <row r="303" spans="1:27" x14ac:dyDescent="0.25">
      <c r="A303"/>
      <c r="B303"/>
      <c r="C303"/>
      <c r="D30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/>
      <c r="Q303"/>
      <c r="R303"/>
      <c r="AA303"/>
    </row>
    <row r="304" spans="1:27" x14ac:dyDescent="0.25">
      <c r="A304"/>
      <c r="B304"/>
      <c r="C304"/>
      <c r="D30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/>
      <c r="Q304"/>
      <c r="R304"/>
      <c r="AA304"/>
    </row>
    <row r="305" spans="1:27" x14ac:dyDescent="0.25">
      <c r="A305"/>
      <c r="B305"/>
      <c r="C305"/>
      <c r="D30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  <c r="Q305"/>
      <c r="R305"/>
      <c r="AA305"/>
    </row>
    <row r="306" spans="1:27" x14ac:dyDescent="0.25">
      <c r="A306"/>
      <c r="B306"/>
      <c r="C306"/>
      <c r="D30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/>
      <c r="Q306"/>
      <c r="R306"/>
      <c r="AA306"/>
    </row>
    <row r="307" spans="1:27" x14ac:dyDescent="0.25">
      <c r="A307"/>
      <c r="B307"/>
      <c r="C307"/>
      <c r="D307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/>
      <c r="Q307"/>
      <c r="R307"/>
      <c r="AA307"/>
    </row>
    <row r="308" spans="1:27" x14ac:dyDescent="0.25">
      <c r="A308"/>
      <c r="B308"/>
      <c r="C308"/>
      <c r="D30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/>
      <c r="Q308"/>
      <c r="R308"/>
      <c r="AA308"/>
    </row>
    <row r="309" spans="1:27" x14ac:dyDescent="0.25">
      <c r="A309"/>
      <c r="B309"/>
      <c r="C309"/>
      <c r="D309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/>
      <c r="Q309"/>
      <c r="R309"/>
      <c r="AA309"/>
    </row>
    <row r="310" spans="1:27" x14ac:dyDescent="0.25">
      <c r="A310"/>
      <c r="B310"/>
      <c r="C310"/>
      <c r="D310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/>
      <c r="Q310"/>
      <c r="R310"/>
      <c r="AA310"/>
    </row>
    <row r="311" spans="1:27" x14ac:dyDescent="0.25">
      <c r="A311"/>
      <c r="B311"/>
      <c r="C311"/>
      <c r="D31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/>
      <c r="Q311"/>
      <c r="R311"/>
      <c r="AA311"/>
    </row>
    <row r="312" spans="1:27" x14ac:dyDescent="0.25">
      <c r="A312"/>
      <c r="B312"/>
      <c r="C312"/>
      <c r="D31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/>
      <c r="Q312"/>
      <c r="R312"/>
      <c r="AA312"/>
    </row>
    <row r="313" spans="1:27" x14ac:dyDescent="0.25">
      <c r="A313"/>
      <c r="B313"/>
      <c r="C313"/>
      <c r="D31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/>
      <c r="Q313"/>
      <c r="R313"/>
      <c r="AA313"/>
    </row>
    <row r="314" spans="1:27" x14ac:dyDescent="0.25">
      <c r="A314"/>
      <c r="B314"/>
      <c r="C314"/>
      <c r="D31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/>
      <c r="Q314"/>
      <c r="R314"/>
      <c r="AA314"/>
    </row>
    <row r="315" spans="1:27" x14ac:dyDescent="0.25">
      <c r="A315"/>
      <c r="B315"/>
      <c r="C315"/>
      <c r="D31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/>
      <c r="Q315"/>
      <c r="R315"/>
      <c r="AA315"/>
    </row>
    <row r="316" spans="1:27" x14ac:dyDescent="0.25">
      <c r="A316"/>
      <c r="B316"/>
      <c r="C316"/>
      <c r="D31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/>
      <c r="Q316"/>
      <c r="R316"/>
      <c r="AA316"/>
    </row>
    <row r="317" spans="1:27" x14ac:dyDescent="0.25">
      <c r="A317"/>
      <c r="B317"/>
      <c r="C317"/>
      <c r="D317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/>
      <c r="Q317"/>
      <c r="R317"/>
      <c r="AA317"/>
    </row>
    <row r="318" spans="1:27" x14ac:dyDescent="0.25">
      <c r="A318"/>
      <c r="B318"/>
      <c r="C318"/>
      <c r="D318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/>
      <c r="Q318"/>
      <c r="R318"/>
      <c r="AA318"/>
    </row>
    <row r="319" spans="1:27" x14ac:dyDescent="0.25">
      <c r="A319"/>
      <c r="B319"/>
      <c r="C319"/>
      <c r="D319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/>
      <c r="Q319"/>
      <c r="R319"/>
      <c r="AA319"/>
    </row>
    <row r="320" spans="1:27" x14ac:dyDescent="0.25">
      <c r="A320"/>
      <c r="B320"/>
      <c r="C320"/>
      <c r="D320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/>
      <c r="Q320"/>
      <c r="R320"/>
      <c r="AA320"/>
    </row>
    <row r="321" spans="1:27" x14ac:dyDescent="0.25">
      <c r="A321"/>
      <c r="B321"/>
      <c r="C321"/>
      <c r="D32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/>
      <c r="Q321"/>
      <c r="R321"/>
      <c r="AA321"/>
    </row>
    <row r="322" spans="1:27" x14ac:dyDescent="0.25">
      <c r="A322"/>
      <c r="B322"/>
      <c r="C322"/>
      <c r="D32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/>
      <c r="Q322"/>
      <c r="R322"/>
      <c r="AA322"/>
    </row>
    <row r="323" spans="1:27" x14ac:dyDescent="0.25">
      <c r="A323"/>
      <c r="B323"/>
      <c r="C323"/>
      <c r="D32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/>
      <c r="Q323"/>
      <c r="R323"/>
      <c r="AA323"/>
    </row>
    <row r="324" spans="1:27" x14ac:dyDescent="0.25">
      <c r="A324"/>
      <c r="B324"/>
      <c r="C324"/>
      <c r="D32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/>
      <c r="Q324"/>
      <c r="R324"/>
      <c r="AA324"/>
    </row>
    <row r="325" spans="1:27" x14ac:dyDescent="0.25">
      <c r="A325"/>
      <c r="B325"/>
      <c r="C325"/>
      <c r="D32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/>
      <c r="Q325"/>
      <c r="R325"/>
      <c r="AA325"/>
    </row>
    <row r="326" spans="1:27" x14ac:dyDescent="0.25">
      <c r="A326"/>
      <c r="B326"/>
      <c r="C326"/>
      <c r="D32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/>
      <c r="Q326"/>
      <c r="R326"/>
      <c r="AA326"/>
    </row>
    <row r="327" spans="1:27" x14ac:dyDescent="0.25">
      <c r="A327"/>
      <c r="B327"/>
      <c r="C327"/>
      <c r="D327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/>
      <c r="Q327"/>
      <c r="R327"/>
      <c r="AA327"/>
    </row>
    <row r="328" spans="1:27" x14ac:dyDescent="0.25">
      <c r="A328"/>
      <c r="B328"/>
      <c r="C328"/>
      <c r="D328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/>
      <c r="Q328"/>
      <c r="R328"/>
      <c r="AA328"/>
    </row>
    <row r="329" spans="1:27" x14ac:dyDescent="0.25">
      <c r="A329"/>
      <c r="B329"/>
      <c r="C329"/>
      <c r="D329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/>
      <c r="Q329"/>
      <c r="R329"/>
      <c r="AA329"/>
    </row>
    <row r="330" spans="1:27" x14ac:dyDescent="0.25">
      <c r="A330"/>
      <c r="B330"/>
      <c r="C330"/>
      <c r="D330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/>
      <c r="Q330"/>
      <c r="R330"/>
      <c r="AA330"/>
    </row>
    <row r="331" spans="1:27" x14ac:dyDescent="0.25">
      <c r="A331"/>
      <c r="B331"/>
      <c r="C331"/>
      <c r="D33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/>
      <c r="Q331"/>
      <c r="R331"/>
      <c r="AA331"/>
    </row>
    <row r="332" spans="1:27" x14ac:dyDescent="0.25">
      <c r="A332"/>
      <c r="B332"/>
      <c r="C332"/>
      <c r="D33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/>
      <c r="Q332"/>
      <c r="R332"/>
      <c r="AA332"/>
    </row>
    <row r="333" spans="1:27" x14ac:dyDescent="0.25">
      <c r="A333"/>
      <c r="B333"/>
      <c r="C333"/>
      <c r="D33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/>
      <c r="Q333"/>
      <c r="R333"/>
      <c r="AA333"/>
    </row>
    <row r="334" spans="1:27" x14ac:dyDescent="0.25">
      <c r="A334"/>
      <c r="B334"/>
      <c r="C334"/>
      <c r="D33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/>
      <c r="Q334"/>
      <c r="R334"/>
      <c r="AA334"/>
    </row>
    <row r="335" spans="1:27" x14ac:dyDescent="0.25">
      <c r="A335"/>
      <c r="B335"/>
      <c r="C335"/>
      <c r="D33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/>
      <c r="Q335"/>
      <c r="R335"/>
      <c r="AA335"/>
    </row>
    <row r="336" spans="1:27" x14ac:dyDescent="0.25">
      <c r="A336"/>
      <c r="B336"/>
      <c r="C336"/>
      <c r="D33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/>
      <c r="Q336"/>
      <c r="R336"/>
      <c r="AA336"/>
    </row>
    <row r="337" spans="1:27" x14ac:dyDescent="0.25">
      <c r="A337"/>
      <c r="B337"/>
      <c r="C337"/>
      <c r="D337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/>
      <c r="Q337"/>
      <c r="R337"/>
      <c r="AA337"/>
    </row>
    <row r="338" spans="1:27" x14ac:dyDescent="0.25">
      <c r="A338"/>
      <c r="B338"/>
      <c r="C338"/>
      <c r="D338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/>
      <c r="Q338"/>
      <c r="R338"/>
      <c r="AA338"/>
    </row>
    <row r="339" spans="1:27" x14ac:dyDescent="0.25">
      <c r="A339"/>
      <c r="B339"/>
      <c r="C339"/>
      <c r="D339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/>
      <c r="Q339"/>
      <c r="R339"/>
      <c r="AA339"/>
    </row>
    <row r="340" spans="1:27" x14ac:dyDescent="0.25">
      <c r="A340"/>
      <c r="B340"/>
      <c r="C340"/>
      <c r="D340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  <c r="Q340"/>
      <c r="R340"/>
      <c r="AA340"/>
    </row>
    <row r="341" spans="1:27" x14ac:dyDescent="0.25">
      <c r="A341"/>
      <c r="B341"/>
      <c r="C341"/>
      <c r="D34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/>
      <c r="Q341"/>
      <c r="R341"/>
      <c r="AA341"/>
    </row>
    <row r="342" spans="1:27" x14ac:dyDescent="0.25">
      <c r="A342"/>
      <c r="B342"/>
      <c r="C342"/>
      <c r="D34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/>
      <c r="Q342"/>
      <c r="R342"/>
      <c r="AA342"/>
    </row>
    <row r="343" spans="1:27" x14ac:dyDescent="0.25">
      <c r="A343"/>
      <c r="B343"/>
      <c r="C343"/>
      <c r="D34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/>
      <c r="Q343"/>
      <c r="R343"/>
      <c r="AA343"/>
    </row>
    <row r="344" spans="1:27" x14ac:dyDescent="0.25">
      <c r="A344"/>
      <c r="B344"/>
      <c r="C344"/>
      <c r="D34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/>
      <c r="Q344"/>
      <c r="R344"/>
      <c r="AA344"/>
    </row>
    <row r="345" spans="1:27" x14ac:dyDescent="0.25">
      <c r="A345"/>
      <c r="B345"/>
      <c r="C345"/>
      <c r="D34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/>
      <c r="Q345"/>
      <c r="R345"/>
      <c r="AA345"/>
    </row>
    <row r="346" spans="1:27" x14ac:dyDescent="0.25">
      <c r="A346"/>
      <c r="B346"/>
      <c r="C346"/>
      <c r="D34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/>
      <c r="Q346"/>
      <c r="R346"/>
      <c r="AA346"/>
    </row>
    <row r="347" spans="1:27" x14ac:dyDescent="0.25">
      <c r="A347"/>
      <c r="B347"/>
      <c r="C347"/>
      <c r="D347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  <c r="Q347"/>
      <c r="R347"/>
      <c r="AA347"/>
    </row>
    <row r="348" spans="1:27" x14ac:dyDescent="0.25">
      <c r="A348"/>
      <c r="B348"/>
      <c r="C348"/>
      <c r="D348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/>
      <c r="Q348"/>
      <c r="R348"/>
      <c r="AA348"/>
    </row>
    <row r="349" spans="1:27" x14ac:dyDescent="0.25">
      <c r="A349"/>
      <c r="B349"/>
      <c r="C349"/>
      <c r="D349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/>
      <c r="Q349"/>
      <c r="R349"/>
      <c r="AA349"/>
    </row>
    <row r="350" spans="1:27" x14ac:dyDescent="0.25">
      <c r="A350"/>
      <c r="B350"/>
      <c r="C350"/>
      <c r="D350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/>
      <c r="Q350"/>
      <c r="R350"/>
      <c r="AA350"/>
    </row>
    <row r="351" spans="1:27" x14ac:dyDescent="0.25">
      <c r="A351"/>
      <c r="B351"/>
      <c r="C351"/>
      <c r="D35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/>
      <c r="Q351"/>
      <c r="R351"/>
      <c r="AA351"/>
    </row>
    <row r="352" spans="1:27" x14ac:dyDescent="0.25">
      <c r="A352"/>
      <c r="B352"/>
      <c r="C352"/>
      <c r="D35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/>
      <c r="Q352"/>
      <c r="R352"/>
      <c r="AA352"/>
    </row>
    <row r="353" spans="1:27" x14ac:dyDescent="0.25">
      <c r="A353"/>
      <c r="B353"/>
      <c r="C353"/>
      <c r="D35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/>
      <c r="Q353"/>
      <c r="R353"/>
      <c r="AA353"/>
    </row>
    <row r="354" spans="1:27" x14ac:dyDescent="0.25">
      <c r="A354"/>
      <c r="B354"/>
      <c r="C354"/>
      <c r="D35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  <c r="Q354"/>
      <c r="R354"/>
      <c r="AA354"/>
    </row>
    <row r="355" spans="1:27" x14ac:dyDescent="0.25">
      <c r="A355"/>
      <c r="B355"/>
      <c r="C355"/>
      <c r="D35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/>
      <c r="Q355"/>
      <c r="R355"/>
      <c r="AA355"/>
    </row>
    <row r="356" spans="1:27" x14ac:dyDescent="0.25">
      <c r="A356"/>
      <c r="B356"/>
      <c r="C356"/>
      <c r="D35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/>
      <c r="Q356"/>
      <c r="R356"/>
      <c r="AA356"/>
    </row>
    <row r="357" spans="1:27" x14ac:dyDescent="0.25">
      <c r="A357"/>
      <c r="B357"/>
      <c r="C357"/>
      <c r="D357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/>
      <c r="Q357"/>
      <c r="R357"/>
      <c r="AA357"/>
    </row>
    <row r="358" spans="1:27" x14ac:dyDescent="0.25">
      <c r="A358"/>
      <c r="B358"/>
      <c r="C358"/>
      <c r="D358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/>
      <c r="Q358"/>
      <c r="R358"/>
      <c r="AA358"/>
    </row>
    <row r="359" spans="1:27" x14ac:dyDescent="0.25">
      <c r="A359"/>
      <c r="B359"/>
      <c r="C359"/>
      <c r="D359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/>
      <c r="Q359"/>
      <c r="R359"/>
      <c r="AA359"/>
    </row>
    <row r="360" spans="1:27" x14ac:dyDescent="0.25">
      <c r="A360"/>
      <c r="B360"/>
      <c r="C360"/>
      <c r="D360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/>
      <c r="Q360"/>
      <c r="R360"/>
      <c r="AA360"/>
    </row>
    <row r="361" spans="1:27" x14ac:dyDescent="0.25">
      <c r="A361"/>
      <c r="B361"/>
      <c r="C361"/>
      <c r="D36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/>
      <c r="Q361"/>
      <c r="R361"/>
      <c r="AA361"/>
    </row>
    <row r="362" spans="1:27" x14ac:dyDescent="0.25">
      <c r="A362"/>
      <c r="B362"/>
      <c r="C362"/>
      <c r="D36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/>
      <c r="Q362"/>
      <c r="R362"/>
      <c r="AA362"/>
    </row>
    <row r="363" spans="1:27" x14ac:dyDescent="0.25">
      <c r="A363"/>
      <c r="B363"/>
      <c r="C363"/>
      <c r="D36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/>
      <c r="Q363"/>
      <c r="R363"/>
      <c r="AA363"/>
    </row>
    <row r="364" spans="1:27" x14ac:dyDescent="0.25">
      <c r="A364"/>
      <c r="B364"/>
      <c r="C364"/>
      <c r="D36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/>
      <c r="Q364"/>
      <c r="R364"/>
      <c r="AA364"/>
    </row>
    <row r="365" spans="1:27" x14ac:dyDescent="0.25">
      <c r="A365"/>
      <c r="B365"/>
      <c r="C365"/>
      <c r="D36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/>
      <c r="Q365"/>
      <c r="R365"/>
      <c r="AA365"/>
    </row>
    <row r="366" spans="1:27" x14ac:dyDescent="0.25">
      <c r="A366"/>
      <c r="B366"/>
      <c r="C366"/>
      <c r="D36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/>
      <c r="Q366"/>
      <c r="R366"/>
      <c r="AA366"/>
    </row>
    <row r="367" spans="1:27" x14ac:dyDescent="0.25">
      <c r="A367"/>
      <c r="B367"/>
      <c r="C367"/>
      <c r="D367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/>
      <c r="Q367"/>
      <c r="R367"/>
      <c r="AA367"/>
    </row>
    <row r="368" spans="1:27" x14ac:dyDescent="0.25">
      <c r="A368"/>
      <c r="B368"/>
      <c r="C368"/>
      <c r="D368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/>
      <c r="Q368"/>
      <c r="R368"/>
      <c r="AA368"/>
    </row>
    <row r="369" spans="1:27" x14ac:dyDescent="0.25">
      <c r="A369"/>
      <c r="B369"/>
      <c r="C369"/>
      <c r="D369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/>
      <c r="Q369"/>
      <c r="R369"/>
      <c r="AA369"/>
    </row>
    <row r="370" spans="1:27" x14ac:dyDescent="0.25">
      <c r="A370"/>
      <c r="B370"/>
      <c r="C370"/>
      <c r="D370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/>
      <c r="Q370"/>
      <c r="R370"/>
      <c r="AA370"/>
    </row>
    <row r="371" spans="1:27" x14ac:dyDescent="0.25">
      <c r="A371"/>
      <c r="B371"/>
      <c r="C371"/>
      <c r="D37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/>
      <c r="Q371"/>
      <c r="R371"/>
      <c r="AA371"/>
    </row>
    <row r="372" spans="1:27" x14ac:dyDescent="0.25">
      <c r="A372"/>
      <c r="B372"/>
      <c r="C372"/>
      <c r="D37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/>
      <c r="Q372"/>
      <c r="R372"/>
      <c r="AA372"/>
    </row>
    <row r="373" spans="1:27" x14ac:dyDescent="0.25">
      <c r="A373"/>
      <c r="B373"/>
      <c r="C373"/>
      <c r="D37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/>
      <c r="Q373"/>
      <c r="R373"/>
      <c r="AA373"/>
    </row>
    <row r="374" spans="1:27" x14ac:dyDescent="0.25">
      <c r="A374"/>
      <c r="B374"/>
      <c r="C374"/>
      <c r="D37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/>
      <c r="Q374"/>
      <c r="R374"/>
      <c r="AA374"/>
    </row>
    <row r="375" spans="1:27" x14ac:dyDescent="0.25">
      <c r="A375"/>
      <c r="B375"/>
      <c r="C375"/>
      <c r="D37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/>
      <c r="Q375"/>
      <c r="R375"/>
      <c r="AA375"/>
    </row>
    <row r="376" spans="1:27" x14ac:dyDescent="0.25">
      <c r="A376"/>
      <c r="B376"/>
      <c r="C376"/>
      <c r="D37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/>
      <c r="Q376"/>
      <c r="R376"/>
      <c r="AA376"/>
    </row>
    <row r="377" spans="1:27" x14ac:dyDescent="0.25">
      <c r="A377"/>
      <c r="B377"/>
      <c r="C377"/>
      <c r="D377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/>
      <c r="Q377"/>
      <c r="R377"/>
      <c r="AA377"/>
    </row>
    <row r="378" spans="1:27" x14ac:dyDescent="0.25">
      <c r="A378"/>
      <c r="B378"/>
      <c r="C378"/>
      <c r="D378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/>
      <c r="Q378"/>
      <c r="R378"/>
      <c r="AA378"/>
    </row>
    <row r="379" spans="1:27" x14ac:dyDescent="0.25">
      <c r="A379"/>
      <c r="B379"/>
      <c r="C379"/>
      <c r="D379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/>
      <c r="Q379"/>
      <c r="R379"/>
      <c r="AA379"/>
    </row>
    <row r="380" spans="1:27" x14ac:dyDescent="0.25">
      <c r="A380"/>
      <c r="B380"/>
      <c r="C380"/>
      <c r="D380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/>
      <c r="Q380"/>
      <c r="R380"/>
      <c r="AA380"/>
    </row>
    <row r="381" spans="1:27" x14ac:dyDescent="0.25">
      <c r="A381"/>
      <c r="B381"/>
      <c r="C381"/>
      <c r="D38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/>
      <c r="Q381"/>
      <c r="R381"/>
      <c r="AA381"/>
    </row>
    <row r="382" spans="1:27" x14ac:dyDescent="0.25">
      <c r="A382"/>
      <c r="B382"/>
      <c r="C382"/>
      <c r="D38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/>
      <c r="Q382"/>
      <c r="R382"/>
      <c r="AA382"/>
    </row>
    <row r="383" spans="1:27" x14ac:dyDescent="0.25">
      <c r="A383"/>
      <c r="B383"/>
      <c r="C383"/>
      <c r="D38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/>
      <c r="Q383"/>
      <c r="R383"/>
      <c r="AA383"/>
    </row>
    <row r="384" spans="1:27" x14ac:dyDescent="0.25">
      <c r="A384"/>
      <c r="B384"/>
      <c r="C384"/>
      <c r="D38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/>
      <c r="Q384"/>
      <c r="R384"/>
      <c r="AA384"/>
    </row>
    <row r="385" spans="1:27" x14ac:dyDescent="0.25">
      <c r="A385"/>
      <c r="B385"/>
      <c r="C385"/>
      <c r="D38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/>
      <c r="Q385"/>
      <c r="R385"/>
      <c r="AA385"/>
    </row>
    <row r="386" spans="1:27" x14ac:dyDescent="0.25">
      <c r="A386"/>
      <c r="B386"/>
      <c r="C386"/>
      <c r="D38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  <c r="Q386"/>
      <c r="R386"/>
      <c r="AA386"/>
    </row>
    <row r="387" spans="1:27" x14ac:dyDescent="0.25">
      <c r="A387"/>
      <c r="B387"/>
      <c r="C387"/>
      <c r="D387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/>
      <c r="Q387"/>
      <c r="R387"/>
      <c r="AA387"/>
    </row>
    <row r="388" spans="1:27" x14ac:dyDescent="0.25">
      <c r="A388"/>
      <c r="B388"/>
      <c r="C388"/>
      <c r="D388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/>
      <c r="Q388"/>
      <c r="R388"/>
      <c r="AA388"/>
    </row>
    <row r="389" spans="1:27" x14ac:dyDescent="0.25">
      <c r="A389"/>
      <c r="B389"/>
      <c r="C389"/>
      <c r="D389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/>
      <c r="Q389"/>
      <c r="R389"/>
      <c r="AA389"/>
    </row>
    <row r="390" spans="1:27" x14ac:dyDescent="0.25">
      <c r="A390"/>
      <c r="B390"/>
      <c r="C390"/>
      <c r="D390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/>
      <c r="Q390"/>
      <c r="R390"/>
      <c r="AA390"/>
    </row>
    <row r="391" spans="1:27" x14ac:dyDescent="0.25">
      <c r="A391"/>
      <c r="B391"/>
      <c r="C391"/>
      <c r="D39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/>
      <c r="Q391"/>
      <c r="R391"/>
      <c r="AA391"/>
    </row>
    <row r="392" spans="1:27" x14ac:dyDescent="0.25">
      <c r="A392"/>
      <c r="B392"/>
      <c r="C392"/>
      <c r="D39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/>
      <c r="Q392"/>
      <c r="R392"/>
      <c r="AA392"/>
    </row>
    <row r="393" spans="1:27" x14ac:dyDescent="0.25">
      <c r="A393"/>
      <c r="B393"/>
      <c r="C393"/>
      <c r="D39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  <c r="Q393"/>
      <c r="R393"/>
      <c r="AA393"/>
    </row>
    <row r="394" spans="1:27" x14ac:dyDescent="0.25">
      <c r="A394"/>
      <c r="B394"/>
      <c r="C394"/>
      <c r="D39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/>
      <c r="Q394"/>
      <c r="R394"/>
      <c r="AA394"/>
    </row>
    <row r="395" spans="1:27" x14ac:dyDescent="0.25">
      <c r="A395"/>
      <c r="B395"/>
      <c r="C395"/>
      <c r="D39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/>
      <c r="Q395"/>
      <c r="R395"/>
      <c r="AA395"/>
    </row>
    <row r="396" spans="1:27" x14ac:dyDescent="0.25">
      <c r="A396"/>
      <c r="B396"/>
      <c r="C396"/>
      <c r="D39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/>
      <c r="Q396"/>
      <c r="R396"/>
      <c r="AA396"/>
    </row>
    <row r="397" spans="1:27" x14ac:dyDescent="0.25">
      <c r="A397"/>
      <c r="B397"/>
      <c r="C397"/>
      <c r="D397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/>
      <c r="Q397"/>
      <c r="R397"/>
      <c r="AA397"/>
    </row>
    <row r="398" spans="1:27" x14ac:dyDescent="0.25">
      <c r="A398"/>
      <c r="B398"/>
      <c r="C398"/>
      <c r="D398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/>
      <c r="Q398"/>
      <c r="R398"/>
      <c r="AA398"/>
    </row>
    <row r="399" spans="1:27" x14ac:dyDescent="0.25">
      <c r="A399"/>
      <c r="B399"/>
      <c r="C399"/>
      <c r="D399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/>
      <c r="Q399"/>
      <c r="R399"/>
      <c r="AA399"/>
    </row>
    <row r="400" spans="1:27" x14ac:dyDescent="0.25">
      <c r="A400"/>
      <c r="B400"/>
      <c r="C400"/>
      <c r="D400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  <c r="Q400"/>
      <c r="R400"/>
      <c r="AA400"/>
    </row>
    <row r="401" spans="1:27" x14ac:dyDescent="0.25">
      <c r="A401"/>
      <c r="B401"/>
      <c r="C401"/>
      <c r="D40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/>
      <c r="Q401"/>
      <c r="R401"/>
      <c r="AA401"/>
    </row>
    <row r="402" spans="1:27" x14ac:dyDescent="0.25">
      <c r="A402"/>
      <c r="B402"/>
      <c r="C402"/>
      <c r="D40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/>
      <c r="Q402"/>
      <c r="R402"/>
      <c r="AA402"/>
    </row>
    <row r="403" spans="1:27" x14ac:dyDescent="0.25">
      <c r="A403"/>
      <c r="B403"/>
      <c r="C403"/>
      <c r="D40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/>
      <c r="Q403"/>
      <c r="R403"/>
      <c r="AA403"/>
    </row>
    <row r="404" spans="1:27" x14ac:dyDescent="0.25">
      <c r="A404"/>
      <c r="B404"/>
      <c r="C404"/>
      <c r="D40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/>
      <c r="Q404"/>
      <c r="R404"/>
      <c r="AA404"/>
    </row>
    <row r="405" spans="1:27" x14ac:dyDescent="0.25">
      <c r="A405"/>
      <c r="B405"/>
      <c r="C405"/>
      <c r="D40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/>
      <c r="Q405"/>
      <c r="R405"/>
      <c r="AA405"/>
    </row>
    <row r="406" spans="1:27" x14ac:dyDescent="0.25">
      <c r="A406"/>
      <c r="B406"/>
      <c r="C406"/>
      <c r="D40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/>
      <c r="Q406"/>
      <c r="R406"/>
      <c r="AA406"/>
    </row>
    <row r="407" spans="1:27" x14ac:dyDescent="0.25">
      <c r="A407"/>
      <c r="B407"/>
      <c r="C407"/>
      <c r="D407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/>
      <c r="Q407"/>
      <c r="R407"/>
      <c r="AA407"/>
    </row>
    <row r="408" spans="1:27" x14ac:dyDescent="0.25">
      <c r="A408"/>
      <c r="B408"/>
      <c r="C408"/>
      <c r="D408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/>
      <c r="Q408"/>
      <c r="R408"/>
      <c r="AA408"/>
    </row>
    <row r="409" spans="1:27" x14ac:dyDescent="0.25">
      <c r="A409"/>
      <c r="B409"/>
      <c r="C409"/>
      <c r="D409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/>
      <c r="Q409"/>
      <c r="R409"/>
      <c r="AA409"/>
    </row>
    <row r="410" spans="1:27" x14ac:dyDescent="0.25">
      <c r="A410"/>
      <c r="B410"/>
      <c r="C410"/>
      <c r="D410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/>
      <c r="Q410"/>
      <c r="R410"/>
      <c r="AA410"/>
    </row>
    <row r="411" spans="1:27" x14ac:dyDescent="0.25">
      <c r="A411"/>
      <c r="B411"/>
      <c r="C411"/>
      <c r="D41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/>
      <c r="Q411"/>
      <c r="R411"/>
      <c r="AA411"/>
    </row>
    <row r="412" spans="1:27" x14ac:dyDescent="0.25">
      <c r="A412"/>
      <c r="B412"/>
      <c r="C412"/>
      <c r="D41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/>
      <c r="Q412"/>
      <c r="R412"/>
      <c r="AA412"/>
    </row>
    <row r="413" spans="1:27" x14ac:dyDescent="0.25">
      <c r="A413"/>
      <c r="B413"/>
      <c r="C413"/>
      <c r="D41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/>
      <c r="Q413"/>
      <c r="R413"/>
      <c r="AA413"/>
    </row>
    <row r="414" spans="1:27" x14ac:dyDescent="0.25">
      <c r="A414"/>
      <c r="B414"/>
      <c r="C414"/>
      <c r="D41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/>
      <c r="Q414"/>
      <c r="R414"/>
      <c r="AA414"/>
    </row>
    <row r="415" spans="1:27" x14ac:dyDescent="0.25">
      <c r="A415"/>
      <c r="B415"/>
      <c r="C415"/>
      <c r="D41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/>
      <c r="Q415"/>
      <c r="R415"/>
      <c r="AA415"/>
    </row>
    <row r="416" spans="1:27" x14ac:dyDescent="0.25">
      <c r="A416"/>
      <c r="B416"/>
      <c r="C416"/>
      <c r="D41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/>
      <c r="Q416"/>
      <c r="R416"/>
      <c r="AA416"/>
    </row>
    <row r="417" spans="1:27" x14ac:dyDescent="0.25">
      <c r="A417"/>
      <c r="B417"/>
      <c r="C417"/>
      <c r="D417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/>
      <c r="Q417"/>
      <c r="R417"/>
      <c r="AA417"/>
    </row>
    <row r="418" spans="1:27" x14ac:dyDescent="0.25">
      <c r="A418"/>
      <c r="B418"/>
      <c r="C418"/>
      <c r="D418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/>
      <c r="Q418"/>
      <c r="R418"/>
      <c r="AA418"/>
    </row>
    <row r="419" spans="1:27" x14ac:dyDescent="0.25">
      <c r="A419"/>
      <c r="B419"/>
      <c r="C419"/>
      <c r="D419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/>
      <c r="Q419"/>
      <c r="R419"/>
      <c r="AA419"/>
    </row>
    <row r="420" spans="1:27" x14ac:dyDescent="0.25">
      <c r="A420"/>
      <c r="B420"/>
      <c r="C420"/>
      <c r="D420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/>
      <c r="Q420"/>
      <c r="R420"/>
      <c r="AA420"/>
    </row>
    <row r="421" spans="1:27" x14ac:dyDescent="0.25">
      <c r="A421"/>
      <c r="B421"/>
      <c r="C421"/>
      <c r="D42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/>
      <c r="Q421"/>
      <c r="R421"/>
      <c r="AA421"/>
    </row>
    <row r="422" spans="1:27" x14ac:dyDescent="0.25">
      <c r="A422"/>
      <c r="B422"/>
      <c r="C422"/>
      <c r="D42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/>
      <c r="Q422"/>
      <c r="R422"/>
      <c r="AA422"/>
    </row>
    <row r="423" spans="1:27" x14ac:dyDescent="0.25">
      <c r="A423"/>
      <c r="B423"/>
      <c r="C423"/>
      <c r="D42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/>
      <c r="Q423"/>
      <c r="R423"/>
      <c r="AA423"/>
    </row>
    <row r="424" spans="1:27" x14ac:dyDescent="0.25">
      <c r="A424"/>
      <c r="B424"/>
      <c r="C424"/>
      <c r="D42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/>
      <c r="Q424"/>
      <c r="R424"/>
      <c r="AA424"/>
    </row>
    <row r="425" spans="1:27" x14ac:dyDescent="0.25">
      <c r="A425"/>
      <c r="B425"/>
      <c r="C425"/>
      <c r="D42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/>
      <c r="Q425"/>
      <c r="R425"/>
      <c r="AA425"/>
    </row>
    <row r="426" spans="1:27" x14ac:dyDescent="0.25">
      <c r="A426"/>
      <c r="B426"/>
      <c r="C426"/>
      <c r="D42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/>
      <c r="Q426"/>
      <c r="R426"/>
      <c r="AA426"/>
    </row>
    <row r="427" spans="1:27" x14ac:dyDescent="0.25">
      <c r="A427"/>
      <c r="B427"/>
      <c r="C427"/>
      <c r="D427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/>
      <c r="Q427"/>
      <c r="R427"/>
      <c r="AA427"/>
    </row>
    <row r="428" spans="1:27" x14ac:dyDescent="0.25">
      <c r="A428"/>
      <c r="B428"/>
      <c r="C428"/>
      <c r="D428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/>
      <c r="Q428"/>
      <c r="R428"/>
      <c r="AA428"/>
    </row>
    <row r="429" spans="1:27" x14ac:dyDescent="0.25">
      <c r="A429"/>
      <c r="B429"/>
      <c r="C429"/>
      <c r="D429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/>
      <c r="Q429"/>
      <c r="R429"/>
      <c r="AA429"/>
    </row>
    <row r="430" spans="1:27" x14ac:dyDescent="0.25">
      <c r="A430"/>
      <c r="B430"/>
      <c r="C430"/>
      <c r="D430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/>
      <c r="Q430"/>
      <c r="R430"/>
      <c r="AA430"/>
    </row>
    <row r="431" spans="1:27" x14ac:dyDescent="0.25">
      <c r="A431"/>
      <c r="B431"/>
      <c r="C431"/>
      <c r="D43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/>
      <c r="Q431"/>
      <c r="R431"/>
      <c r="AA431"/>
    </row>
    <row r="432" spans="1:27" x14ac:dyDescent="0.25">
      <c r="A432"/>
      <c r="B432"/>
      <c r="C432"/>
      <c r="D43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  <c r="Q432"/>
      <c r="R432"/>
      <c r="AA432"/>
    </row>
    <row r="433" spans="1:27" x14ac:dyDescent="0.25">
      <c r="A433"/>
      <c r="B433"/>
      <c r="C433"/>
      <c r="D43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/>
      <c r="Q433"/>
      <c r="R433"/>
      <c r="AA433"/>
    </row>
    <row r="434" spans="1:27" x14ac:dyDescent="0.25">
      <c r="A434"/>
      <c r="B434"/>
      <c r="C434"/>
      <c r="D43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/>
      <c r="Q434"/>
      <c r="R434"/>
      <c r="AA434"/>
    </row>
    <row r="435" spans="1:27" x14ac:dyDescent="0.25">
      <c r="A435"/>
      <c r="B435"/>
      <c r="C435"/>
      <c r="D43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/>
      <c r="Q435"/>
      <c r="R435"/>
      <c r="AA435"/>
    </row>
    <row r="436" spans="1:27" x14ac:dyDescent="0.25">
      <c r="A436"/>
      <c r="B436"/>
      <c r="C436"/>
      <c r="D43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/>
      <c r="Q436"/>
      <c r="R436"/>
      <c r="AA436"/>
    </row>
    <row r="437" spans="1:27" x14ac:dyDescent="0.25">
      <c r="A437"/>
      <c r="B437"/>
      <c r="C437"/>
      <c r="D437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/>
      <c r="Q437"/>
      <c r="R437"/>
      <c r="AA437"/>
    </row>
    <row r="438" spans="1:27" x14ac:dyDescent="0.25">
      <c r="A438"/>
      <c r="B438"/>
      <c r="C438"/>
      <c r="D438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/>
      <c r="Q438"/>
      <c r="R438"/>
      <c r="AA438"/>
    </row>
    <row r="439" spans="1:27" x14ac:dyDescent="0.25">
      <c r="A439"/>
      <c r="B439"/>
      <c r="C439"/>
      <c r="D439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  <c r="Q439"/>
      <c r="R439"/>
      <c r="AA439"/>
    </row>
    <row r="440" spans="1:27" x14ac:dyDescent="0.25">
      <c r="A440"/>
      <c r="B440"/>
      <c r="C440"/>
      <c r="D440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/>
      <c r="Q440"/>
      <c r="R440"/>
      <c r="AA440"/>
    </row>
    <row r="441" spans="1:27" x14ac:dyDescent="0.25">
      <c r="A441"/>
      <c r="B441"/>
      <c r="C441"/>
      <c r="D44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/>
      <c r="Q441"/>
      <c r="R441"/>
      <c r="AA441"/>
    </row>
    <row r="442" spans="1:27" x14ac:dyDescent="0.25">
      <c r="A442"/>
      <c r="B442"/>
      <c r="C442"/>
      <c r="D44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/>
      <c r="Q442"/>
      <c r="R442"/>
      <c r="AA442"/>
    </row>
    <row r="443" spans="1:27" x14ac:dyDescent="0.25">
      <c r="A443"/>
      <c r="B443"/>
      <c r="C443"/>
      <c r="D44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/>
      <c r="Q443"/>
      <c r="R443"/>
      <c r="AA443"/>
    </row>
    <row r="444" spans="1:27" x14ac:dyDescent="0.25">
      <c r="A444"/>
      <c r="B444"/>
      <c r="C444"/>
      <c r="D44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/>
      <c r="Q444"/>
      <c r="R444"/>
      <c r="AA444"/>
    </row>
    <row r="445" spans="1:27" x14ac:dyDescent="0.25">
      <c r="A445"/>
      <c r="B445"/>
      <c r="C445"/>
      <c r="D44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/>
      <c r="Q445"/>
      <c r="R445"/>
      <c r="AA445"/>
    </row>
    <row r="446" spans="1:27" x14ac:dyDescent="0.25">
      <c r="A446"/>
      <c r="B446"/>
      <c r="C446"/>
      <c r="D44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  <c r="Q446"/>
      <c r="R446"/>
      <c r="AA446"/>
    </row>
    <row r="447" spans="1:27" x14ac:dyDescent="0.25">
      <c r="A447"/>
      <c r="B447"/>
      <c r="C447"/>
      <c r="D447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/>
      <c r="Q447"/>
      <c r="R447"/>
      <c r="AA447"/>
    </row>
    <row r="448" spans="1:27" x14ac:dyDescent="0.25">
      <c r="A448"/>
      <c r="B448"/>
      <c r="C448"/>
      <c r="D448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/>
      <c r="Q448"/>
      <c r="R448"/>
      <c r="AA448"/>
    </row>
    <row r="449" spans="1:27" x14ac:dyDescent="0.25">
      <c r="A449"/>
      <c r="B449"/>
      <c r="C449"/>
      <c r="D449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/>
      <c r="Q449"/>
      <c r="R449"/>
      <c r="AA449"/>
    </row>
    <row r="450" spans="1:27" x14ac:dyDescent="0.25">
      <c r="A450"/>
      <c r="B450"/>
      <c r="C450"/>
      <c r="D450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/>
      <c r="Q450"/>
      <c r="R450"/>
      <c r="AA450"/>
    </row>
    <row r="451" spans="1:27" x14ac:dyDescent="0.25">
      <c r="A451"/>
      <c r="B451"/>
      <c r="C451"/>
      <c r="D45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/>
      <c r="Q451"/>
      <c r="R451"/>
      <c r="AA451"/>
    </row>
    <row r="452" spans="1:27" x14ac:dyDescent="0.25">
      <c r="A452"/>
      <c r="B452"/>
      <c r="C452"/>
      <c r="D45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/>
      <c r="Q452"/>
      <c r="R452"/>
      <c r="AA452"/>
    </row>
    <row r="453" spans="1:27" x14ac:dyDescent="0.25">
      <c r="A453"/>
      <c r="B453"/>
      <c r="C453"/>
      <c r="D45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/>
      <c r="Q453"/>
      <c r="R453"/>
      <c r="AA453"/>
    </row>
    <row r="454" spans="1:27" x14ac:dyDescent="0.25">
      <c r="A454"/>
      <c r="B454"/>
      <c r="C454"/>
      <c r="D45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/>
      <c r="Q454"/>
      <c r="R454"/>
      <c r="AA454"/>
    </row>
    <row r="455" spans="1:27" x14ac:dyDescent="0.25">
      <c r="A455"/>
      <c r="B455"/>
      <c r="C455"/>
      <c r="D45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/>
      <c r="Q455"/>
      <c r="R455"/>
      <c r="AA455"/>
    </row>
    <row r="456" spans="1:27" x14ac:dyDescent="0.25">
      <c r="A456"/>
      <c r="B456"/>
      <c r="C456"/>
      <c r="D45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/>
      <c r="Q456"/>
      <c r="R456"/>
      <c r="AA456"/>
    </row>
    <row r="457" spans="1:27" x14ac:dyDescent="0.25">
      <c r="A457"/>
      <c r="B457"/>
      <c r="C457"/>
      <c r="D457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/>
      <c r="Q457"/>
      <c r="R457"/>
      <c r="AA457"/>
    </row>
    <row r="458" spans="1:27" x14ac:dyDescent="0.25">
      <c r="A458"/>
      <c r="B458"/>
      <c r="C458"/>
      <c r="D458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/>
      <c r="Q458"/>
      <c r="R458"/>
      <c r="AA458"/>
    </row>
    <row r="459" spans="1:27" x14ac:dyDescent="0.25">
      <c r="A459"/>
      <c r="B459"/>
      <c r="C459"/>
      <c r="D459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/>
      <c r="Q459"/>
      <c r="R459"/>
      <c r="AA459"/>
    </row>
    <row r="460" spans="1:27" x14ac:dyDescent="0.25">
      <c r="A460"/>
      <c r="B460"/>
      <c r="C460"/>
      <c r="D460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/>
      <c r="Q460"/>
      <c r="R460"/>
      <c r="AA460"/>
    </row>
    <row r="461" spans="1:27" x14ac:dyDescent="0.25">
      <c r="A461"/>
      <c r="B461"/>
      <c r="C461"/>
      <c r="D46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/>
      <c r="Q461"/>
      <c r="R461"/>
      <c r="AA461"/>
    </row>
    <row r="462" spans="1:27" x14ac:dyDescent="0.25">
      <c r="A462"/>
      <c r="B462"/>
      <c r="C462"/>
      <c r="D46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/>
      <c r="Q462"/>
      <c r="R462"/>
      <c r="AA462"/>
    </row>
    <row r="463" spans="1:27" x14ac:dyDescent="0.25">
      <c r="A463"/>
      <c r="B463"/>
      <c r="C463"/>
      <c r="D46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/>
      <c r="Q463"/>
      <c r="R463"/>
      <c r="AA463"/>
    </row>
    <row r="464" spans="1:27" x14ac:dyDescent="0.25">
      <c r="A464"/>
      <c r="B464"/>
      <c r="C464"/>
      <c r="D46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/>
      <c r="Q464"/>
      <c r="R464"/>
      <c r="AA464"/>
    </row>
    <row r="465" spans="1:27" x14ac:dyDescent="0.25">
      <c r="A465"/>
      <c r="B465"/>
      <c r="C465"/>
      <c r="D46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/>
      <c r="Q465"/>
      <c r="R465"/>
      <c r="AA465"/>
    </row>
    <row r="466" spans="1:27" x14ac:dyDescent="0.25">
      <c r="A466"/>
      <c r="B466"/>
      <c r="C466"/>
      <c r="D46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/>
      <c r="Q466"/>
      <c r="R466"/>
      <c r="AA466"/>
    </row>
    <row r="467" spans="1:27" x14ac:dyDescent="0.25">
      <c r="A467"/>
      <c r="B467"/>
      <c r="C467"/>
      <c r="D467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/>
      <c r="Q467"/>
      <c r="R467"/>
      <c r="AA467"/>
    </row>
    <row r="468" spans="1:27" x14ac:dyDescent="0.25">
      <c r="A468"/>
      <c r="B468"/>
      <c r="C468"/>
      <c r="D468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/>
      <c r="Q468"/>
      <c r="R468"/>
      <c r="AA468"/>
    </row>
    <row r="469" spans="1:27" x14ac:dyDescent="0.25">
      <c r="A469"/>
      <c r="B469"/>
      <c r="C469"/>
      <c r="D469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/>
      <c r="Q469"/>
      <c r="R469"/>
      <c r="AA469"/>
    </row>
    <row r="470" spans="1:27" x14ac:dyDescent="0.25">
      <c r="A470"/>
      <c r="B470"/>
      <c r="C470"/>
      <c r="D470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/>
      <c r="Q470"/>
      <c r="R470"/>
      <c r="AA470"/>
    </row>
    <row r="471" spans="1:27" x14ac:dyDescent="0.25">
      <c r="A471"/>
      <c r="B471"/>
      <c r="C471"/>
      <c r="D47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/>
      <c r="Q471"/>
      <c r="R471"/>
      <c r="AA471"/>
    </row>
    <row r="472" spans="1:27" x14ac:dyDescent="0.25">
      <c r="A472"/>
      <c r="B472"/>
      <c r="C472"/>
      <c r="D47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/>
      <c r="Q472"/>
      <c r="R472"/>
      <c r="AA472"/>
    </row>
    <row r="473" spans="1:27" x14ac:dyDescent="0.25">
      <c r="A473"/>
      <c r="B473"/>
      <c r="C473"/>
      <c r="D47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/>
      <c r="Q473"/>
      <c r="R473"/>
      <c r="AA473"/>
    </row>
    <row r="474" spans="1:27" x14ac:dyDescent="0.25">
      <c r="A474"/>
      <c r="B474"/>
      <c r="C474"/>
      <c r="D47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/>
      <c r="Q474"/>
      <c r="R474"/>
      <c r="AA474"/>
    </row>
    <row r="475" spans="1:27" x14ac:dyDescent="0.25">
      <c r="A475"/>
      <c r="B475"/>
      <c r="C475"/>
      <c r="D47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/>
      <c r="Q475"/>
      <c r="R475"/>
      <c r="AA475"/>
    </row>
    <row r="476" spans="1:27" x14ac:dyDescent="0.25">
      <c r="A476"/>
      <c r="B476"/>
      <c r="C476"/>
      <c r="D47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/>
      <c r="Q476"/>
      <c r="R476"/>
      <c r="AA476"/>
    </row>
    <row r="477" spans="1:27" x14ac:dyDescent="0.25">
      <c r="A477"/>
      <c r="B477"/>
      <c r="C477"/>
      <c r="D477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/>
      <c r="Q477"/>
      <c r="R477"/>
      <c r="AA477"/>
    </row>
    <row r="478" spans="1:27" x14ac:dyDescent="0.25">
      <c r="A478"/>
      <c r="B478"/>
      <c r="C478"/>
      <c r="D478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  <c r="Q478"/>
      <c r="R478"/>
      <c r="AA478"/>
    </row>
    <row r="479" spans="1:27" x14ac:dyDescent="0.25">
      <c r="A479"/>
      <c r="B479"/>
      <c r="C479"/>
      <c r="D479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/>
      <c r="Q479"/>
      <c r="R479"/>
      <c r="AA479"/>
    </row>
    <row r="480" spans="1:27" x14ac:dyDescent="0.25">
      <c r="A480"/>
      <c r="B480"/>
      <c r="C480"/>
      <c r="D480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/>
      <c r="Q480"/>
      <c r="R480"/>
      <c r="AA480"/>
    </row>
    <row r="481" spans="1:27" x14ac:dyDescent="0.25">
      <c r="A481"/>
      <c r="B481"/>
      <c r="C481"/>
      <c r="D48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/>
      <c r="Q481"/>
      <c r="R481"/>
      <c r="AA481"/>
    </row>
    <row r="482" spans="1:27" x14ac:dyDescent="0.25">
      <c r="A482"/>
      <c r="B482"/>
      <c r="C482"/>
      <c r="D48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/>
      <c r="Q482"/>
      <c r="R482"/>
      <c r="AA482"/>
    </row>
    <row r="483" spans="1:27" x14ac:dyDescent="0.25">
      <c r="A483"/>
      <c r="B483"/>
      <c r="C483"/>
      <c r="D48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/>
      <c r="Q483"/>
      <c r="R483"/>
      <c r="AA483"/>
    </row>
    <row r="484" spans="1:27" x14ac:dyDescent="0.25">
      <c r="A484"/>
      <c r="B484"/>
      <c r="C484"/>
      <c r="D48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/>
      <c r="Q484"/>
      <c r="R484"/>
      <c r="AA484"/>
    </row>
    <row r="485" spans="1:27" x14ac:dyDescent="0.25">
      <c r="A485"/>
      <c r="B485"/>
      <c r="C485"/>
      <c r="D48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  <c r="Q485"/>
      <c r="R485"/>
      <c r="AA485"/>
    </row>
    <row r="486" spans="1:27" x14ac:dyDescent="0.25">
      <c r="A486"/>
      <c r="B486"/>
      <c r="C486"/>
      <c r="D48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/>
      <c r="Q486"/>
      <c r="R486"/>
      <c r="AA486"/>
    </row>
    <row r="487" spans="1:27" x14ac:dyDescent="0.25">
      <c r="A487"/>
      <c r="B487"/>
      <c r="C487"/>
      <c r="D487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/>
      <c r="Q487"/>
      <c r="R487"/>
      <c r="AA487"/>
    </row>
    <row r="488" spans="1:27" x14ac:dyDescent="0.25">
      <c r="A488"/>
      <c r="B488"/>
      <c r="C488"/>
      <c r="D488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/>
      <c r="Q488"/>
      <c r="R488"/>
      <c r="AA488"/>
    </row>
    <row r="489" spans="1:27" x14ac:dyDescent="0.25">
      <c r="A489"/>
      <c r="B489"/>
      <c r="C489"/>
      <c r="D489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/>
      <c r="Q489"/>
      <c r="R489"/>
      <c r="AA489"/>
    </row>
    <row r="490" spans="1:27" x14ac:dyDescent="0.25">
      <c r="A490"/>
      <c r="B490"/>
      <c r="C490"/>
      <c r="D490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/>
      <c r="Q490"/>
      <c r="R490"/>
      <c r="AA490"/>
    </row>
    <row r="491" spans="1:27" x14ac:dyDescent="0.25">
      <c r="A491"/>
      <c r="B491"/>
      <c r="C491"/>
      <c r="D49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/>
      <c r="Q491"/>
      <c r="R491"/>
      <c r="AA491"/>
    </row>
    <row r="492" spans="1:27" x14ac:dyDescent="0.25">
      <c r="A492"/>
      <c r="B492"/>
      <c r="C492"/>
      <c r="D49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  <c r="Q492"/>
      <c r="R492"/>
      <c r="AA492"/>
    </row>
    <row r="493" spans="1:27" x14ac:dyDescent="0.25">
      <c r="A493"/>
      <c r="B493"/>
      <c r="C493"/>
      <c r="D49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/>
      <c r="Q493"/>
      <c r="R493"/>
      <c r="AA493"/>
    </row>
    <row r="494" spans="1:27" x14ac:dyDescent="0.25">
      <c r="A494"/>
      <c r="B494"/>
      <c r="C494"/>
      <c r="D49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/>
      <c r="Q494"/>
      <c r="R494"/>
      <c r="AA494"/>
    </row>
    <row r="495" spans="1:27" x14ac:dyDescent="0.25">
      <c r="A495"/>
      <c r="B495"/>
      <c r="C495"/>
      <c r="D49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/>
      <c r="Q495"/>
      <c r="R495"/>
      <c r="AA495"/>
    </row>
    <row r="496" spans="1:27" x14ac:dyDescent="0.25">
      <c r="A496"/>
      <c r="B496"/>
      <c r="C496"/>
      <c r="D49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/>
      <c r="Q496"/>
      <c r="R496"/>
      <c r="AA496"/>
    </row>
    <row r="497" spans="1:27" x14ac:dyDescent="0.25">
      <c r="A497"/>
      <c r="B497"/>
      <c r="C497"/>
      <c r="D49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/>
      <c r="Q497"/>
      <c r="R497"/>
      <c r="AA497"/>
    </row>
    <row r="498" spans="1:27" x14ac:dyDescent="0.25">
      <c r="A498"/>
      <c r="B498"/>
      <c r="C498"/>
      <c r="D498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/>
      <c r="Q498"/>
      <c r="R498"/>
      <c r="AA498"/>
    </row>
    <row r="499" spans="1:27" x14ac:dyDescent="0.25">
      <c r="A499"/>
      <c r="B499"/>
      <c r="C499"/>
      <c r="D499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/>
      <c r="Q499"/>
      <c r="R499"/>
      <c r="AA499"/>
    </row>
    <row r="500" spans="1:27" x14ac:dyDescent="0.25">
      <c r="A500"/>
      <c r="B500"/>
      <c r="C500"/>
      <c r="D500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/>
      <c r="Q500"/>
      <c r="R500"/>
      <c r="AA500"/>
    </row>
    <row r="501" spans="1:27" x14ac:dyDescent="0.25">
      <c r="A501"/>
      <c r="B501"/>
      <c r="C501"/>
      <c r="D50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/>
      <c r="Q501"/>
      <c r="R501"/>
      <c r="AA501"/>
    </row>
    <row r="502" spans="1:27" x14ac:dyDescent="0.25">
      <c r="A502"/>
      <c r="B502"/>
      <c r="C502"/>
      <c r="D50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/>
      <c r="Q502"/>
      <c r="R502"/>
      <c r="AA502"/>
    </row>
    <row r="503" spans="1:27" x14ac:dyDescent="0.25">
      <c r="A503"/>
      <c r="B503"/>
      <c r="C503"/>
      <c r="D50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/>
      <c r="Q503"/>
      <c r="R503"/>
      <c r="AA503"/>
    </row>
    <row r="504" spans="1:27" x14ac:dyDescent="0.25">
      <c r="A504"/>
      <c r="B504"/>
      <c r="C504"/>
      <c r="D50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/>
      <c r="Q504"/>
      <c r="R504"/>
      <c r="AA504"/>
    </row>
    <row r="505" spans="1:27" x14ac:dyDescent="0.25">
      <c r="A505"/>
      <c r="B505"/>
      <c r="C505"/>
      <c r="D50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/>
      <c r="Q505"/>
      <c r="R505"/>
      <c r="AA505"/>
    </row>
    <row r="506" spans="1:27" x14ac:dyDescent="0.25">
      <c r="A506"/>
      <c r="B506"/>
      <c r="C506"/>
      <c r="D50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/>
      <c r="Q506"/>
      <c r="R506"/>
      <c r="AA506"/>
    </row>
    <row r="507" spans="1:27" x14ac:dyDescent="0.25">
      <c r="A507"/>
      <c r="B507"/>
      <c r="C507"/>
      <c r="D507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/>
      <c r="Q507"/>
      <c r="R507"/>
      <c r="AA507"/>
    </row>
    <row r="508" spans="1:27" x14ac:dyDescent="0.25">
      <c r="A508"/>
      <c r="B508"/>
      <c r="C508"/>
      <c r="D50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/>
      <c r="Q508"/>
      <c r="R508"/>
      <c r="AA508"/>
    </row>
    <row r="509" spans="1:27" x14ac:dyDescent="0.25">
      <c r="A509"/>
      <c r="B509"/>
      <c r="C509"/>
      <c r="D509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/>
      <c r="Q509"/>
      <c r="R509"/>
      <c r="AA509"/>
    </row>
    <row r="510" spans="1:27" x14ac:dyDescent="0.25">
      <c r="A510"/>
      <c r="B510"/>
      <c r="C510"/>
      <c r="D510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/>
      <c r="Q510"/>
      <c r="R510"/>
      <c r="AA510"/>
    </row>
    <row r="511" spans="1:27" x14ac:dyDescent="0.25">
      <c r="A511"/>
      <c r="B511"/>
      <c r="C511"/>
      <c r="D51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/>
      <c r="Q511"/>
      <c r="R511"/>
      <c r="AA511"/>
    </row>
    <row r="512" spans="1:27" x14ac:dyDescent="0.25">
      <c r="A512"/>
      <c r="B512"/>
      <c r="C512"/>
      <c r="D51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/>
      <c r="Q512"/>
      <c r="R512"/>
      <c r="AA512"/>
    </row>
    <row r="513" spans="1:27" x14ac:dyDescent="0.25">
      <c r="A513"/>
      <c r="B513"/>
      <c r="C513"/>
      <c r="D51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/>
      <c r="Q513"/>
      <c r="R513"/>
      <c r="AA513"/>
    </row>
    <row r="514" spans="1:27" x14ac:dyDescent="0.25">
      <c r="A514"/>
      <c r="B514"/>
      <c r="C514"/>
      <c r="D51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/>
      <c r="Q514"/>
      <c r="R514"/>
      <c r="AA514"/>
    </row>
    <row r="515" spans="1:27" x14ac:dyDescent="0.25">
      <c r="A515"/>
      <c r="B515"/>
      <c r="C515"/>
      <c r="D51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/>
      <c r="Q515"/>
      <c r="R515"/>
      <c r="AA515"/>
    </row>
    <row r="516" spans="1:27" x14ac:dyDescent="0.25">
      <c r="A516"/>
      <c r="B516"/>
      <c r="C516"/>
      <c r="D51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/>
      <c r="Q516"/>
      <c r="R516"/>
      <c r="AA516"/>
    </row>
    <row r="517" spans="1:27" x14ac:dyDescent="0.25">
      <c r="A517"/>
      <c r="B517"/>
      <c r="C517"/>
      <c r="D517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/>
      <c r="Q517"/>
      <c r="R517"/>
      <c r="AA517"/>
    </row>
    <row r="518" spans="1:27" x14ac:dyDescent="0.25">
      <c r="A518"/>
      <c r="B518"/>
      <c r="C518"/>
      <c r="D518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/>
      <c r="Q518"/>
      <c r="R518"/>
      <c r="AA518"/>
    </row>
    <row r="519" spans="1:27" x14ac:dyDescent="0.25">
      <c r="A519"/>
      <c r="B519"/>
      <c r="C519"/>
      <c r="D519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/>
      <c r="Q519"/>
      <c r="R519"/>
      <c r="AA519"/>
    </row>
    <row r="520" spans="1:27" x14ac:dyDescent="0.25">
      <c r="A520"/>
      <c r="B520"/>
      <c r="C520"/>
      <c r="D520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/>
      <c r="Q520"/>
      <c r="R520"/>
      <c r="AA520"/>
    </row>
    <row r="521" spans="1:27" x14ac:dyDescent="0.25">
      <c r="A521"/>
      <c r="B521"/>
      <c r="C521"/>
      <c r="D52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/>
      <c r="Q521"/>
      <c r="R521"/>
      <c r="AA521"/>
    </row>
    <row r="522" spans="1:27" x14ac:dyDescent="0.25">
      <c r="A522"/>
      <c r="B522"/>
      <c r="C522"/>
      <c r="D52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/>
      <c r="Q522"/>
      <c r="R522"/>
      <c r="AA522"/>
    </row>
    <row r="523" spans="1:27" x14ac:dyDescent="0.25">
      <c r="A523"/>
      <c r="B523"/>
      <c r="C523"/>
      <c r="D52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/>
      <c r="Q523"/>
      <c r="R523"/>
      <c r="AA523"/>
    </row>
    <row r="524" spans="1:27" x14ac:dyDescent="0.25">
      <c r="A524"/>
      <c r="B524"/>
      <c r="C524"/>
      <c r="D52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  <c r="Q524"/>
      <c r="R524"/>
      <c r="AA524"/>
    </row>
    <row r="525" spans="1:27" x14ac:dyDescent="0.25">
      <c r="A525"/>
      <c r="B525"/>
      <c r="C525"/>
      <c r="D52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/>
      <c r="Q525"/>
      <c r="R525"/>
      <c r="AA525"/>
    </row>
    <row r="526" spans="1:27" x14ac:dyDescent="0.25">
      <c r="A526"/>
      <c r="B526"/>
      <c r="C526"/>
      <c r="D52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/>
      <c r="Q526"/>
      <c r="R526"/>
      <c r="AA526"/>
    </row>
    <row r="527" spans="1:27" x14ac:dyDescent="0.25">
      <c r="A527"/>
      <c r="B527"/>
      <c r="C527"/>
      <c r="D527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/>
      <c r="Q527"/>
      <c r="R527"/>
      <c r="AA527"/>
    </row>
    <row r="528" spans="1:27" x14ac:dyDescent="0.25">
      <c r="A528"/>
      <c r="B528"/>
      <c r="C528"/>
      <c r="D528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/>
      <c r="Q528"/>
      <c r="R528"/>
      <c r="AA528"/>
    </row>
    <row r="529" spans="1:27" x14ac:dyDescent="0.25">
      <c r="A529"/>
      <c r="B529"/>
      <c r="C529"/>
      <c r="D529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/>
      <c r="Q529"/>
      <c r="R529"/>
      <c r="AA529"/>
    </row>
    <row r="530" spans="1:27" x14ac:dyDescent="0.25">
      <c r="A530"/>
      <c r="B530"/>
      <c r="C530"/>
      <c r="D530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/>
      <c r="Q530"/>
      <c r="R530"/>
      <c r="AA530"/>
    </row>
    <row r="531" spans="1:27" x14ac:dyDescent="0.25">
      <c r="A531"/>
      <c r="B531"/>
      <c r="C531"/>
      <c r="D53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  <c r="Q531"/>
      <c r="R531"/>
      <c r="AA531"/>
    </row>
    <row r="532" spans="1:27" x14ac:dyDescent="0.25">
      <c r="A532"/>
      <c r="B532"/>
      <c r="C532"/>
      <c r="D53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/>
      <c r="Q532"/>
      <c r="R532"/>
      <c r="AA532"/>
    </row>
    <row r="533" spans="1:27" x14ac:dyDescent="0.25">
      <c r="A533"/>
      <c r="B533"/>
      <c r="C533"/>
      <c r="D53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/>
      <c r="Q533"/>
      <c r="R533"/>
      <c r="AA533"/>
    </row>
    <row r="534" spans="1:27" x14ac:dyDescent="0.25">
      <c r="A534"/>
      <c r="B534"/>
      <c r="C534"/>
      <c r="D53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/>
      <c r="Q534"/>
      <c r="R534"/>
      <c r="AA534"/>
    </row>
    <row r="535" spans="1:27" x14ac:dyDescent="0.25">
      <c r="A535"/>
      <c r="B535"/>
      <c r="C535"/>
      <c r="D53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/>
      <c r="Q535"/>
      <c r="R535"/>
      <c r="AA535"/>
    </row>
    <row r="536" spans="1:27" x14ac:dyDescent="0.25">
      <c r="A536"/>
      <c r="B536"/>
      <c r="C536"/>
      <c r="D53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/>
      <c r="Q536"/>
      <c r="R536"/>
      <c r="AA536"/>
    </row>
    <row r="537" spans="1:27" x14ac:dyDescent="0.25">
      <c r="A537"/>
      <c r="B537"/>
      <c r="C537"/>
      <c r="D537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/>
      <c r="Q537"/>
      <c r="R537"/>
      <c r="AA537"/>
    </row>
    <row r="538" spans="1:27" x14ac:dyDescent="0.25">
      <c r="A538"/>
      <c r="B538"/>
      <c r="C538"/>
      <c r="D538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  <c r="Q538"/>
      <c r="R538"/>
      <c r="AA538"/>
    </row>
    <row r="539" spans="1:27" x14ac:dyDescent="0.25">
      <c r="A539"/>
      <c r="B539"/>
      <c r="C539"/>
      <c r="D539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/>
      <c r="Q539"/>
      <c r="R539"/>
      <c r="AA539"/>
    </row>
    <row r="540" spans="1:27" x14ac:dyDescent="0.25">
      <c r="A540"/>
      <c r="B540"/>
      <c r="C540"/>
      <c r="D540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/>
      <c r="Q540"/>
      <c r="R540"/>
      <c r="AA540"/>
    </row>
    <row r="541" spans="1:27" x14ac:dyDescent="0.25">
      <c r="A541"/>
      <c r="B541"/>
      <c r="C541"/>
      <c r="D54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/>
      <c r="Q541"/>
      <c r="R541"/>
      <c r="AA541"/>
    </row>
    <row r="542" spans="1:27" x14ac:dyDescent="0.25">
      <c r="A542"/>
      <c r="B542"/>
      <c r="C542"/>
      <c r="D54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/>
      <c r="Q542"/>
      <c r="R542"/>
      <c r="AA542"/>
    </row>
    <row r="543" spans="1:27" x14ac:dyDescent="0.25">
      <c r="A543"/>
      <c r="B543"/>
      <c r="C543"/>
      <c r="D54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/>
      <c r="Q543"/>
      <c r="R543"/>
      <c r="AA543"/>
    </row>
    <row r="544" spans="1:27" x14ac:dyDescent="0.25">
      <c r="A544"/>
      <c r="B544"/>
      <c r="C544"/>
      <c r="D54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/>
      <c r="Q544"/>
      <c r="R544"/>
      <c r="AA544"/>
    </row>
    <row r="545" spans="1:27" x14ac:dyDescent="0.25">
      <c r="A545"/>
      <c r="B545"/>
      <c r="C545"/>
      <c r="D54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/>
      <c r="Q545"/>
      <c r="R545"/>
      <c r="AA545"/>
    </row>
    <row r="546" spans="1:27" x14ac:dyDescent="0.25">
      <c r="A546"/>
      <c r="B546"/>
      <c r="C546"/>
      <c r="D54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/>
      <c r="Q546"/>
      <c r="R546"/>
      <c r="AA546"/>
    </row>
    <row r="547" spans="1:27" x14ac:dyDescent="0.25">
      <c r="A547"/>
      <c r="B547"/>
      <c r="C547"/>
      <c r="D547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/>
      <c r="Q547"/>
      <c r="R547"/>
      <c r="AA547"/>
    </row>
    <row r="548" spans="1:27" x14ac:dyDescent="0.25">
      <c r="A548"/>
      <c r="B548"/>
      <c r="C548"/>
      <c r="D548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/>
      <c r="Q548"/>
      <c r="R548"/>
      <c r="AA548"/>
    </row>
    <row r="549" spans="1:27" x14ac:dyDescent="0.25">
      <c r="A549"/>
      <c r="B549"/>
      <c r="C549"/>
      <c r="D549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/>
      <c r="Q549"/>
      <c r="R549"/>
      <c r="AA549"/>
    </row>
    <row r="550" spans="1:27" x14ac:dyDescent="0.25">
      <c r="A550"/>
      <c r="B550"/>
      <c r="C550"/>
      <c r="D550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/>
      <c r="Q550"/>
      <c r="R550"/>
      <c r="AA550"/>
    </row>
    <row r="551" spans="1:27" x14ac:dyDescent="0.25">
      <c r="A551"/>
      <c r="B551"/>
      <c r="C551"/>
      <c r="D55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/>
      <c r="Q551"/>
      <c r="R551"/>
      <c r="AA551"/>
    </row>
    <row r="552" spans="1:27" x14ac:dyDescent="0.25">
      <c r="A552"/>
      <c r="B552"/>
      <c r="C552"/>
      <c r="D55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/>
      <c r="Q552"/>
      <c r="R552"/>
      <c r="AA552"/>
    </row>
    <row r="553" spans="1:27" x14ac:dyDescent="0.25">
      <c r="A553"/>
      <c r="B553"/>
      <c r="C553"/>
      <c r="D55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/>
      <c r="Q553"/>
      <c r="R553"/>
      <c r="AA553"/>
    </row>
    <row r="554" spans="1:27" x14ac:dyDescent="0.25">
      <c r="A554"/>
      <c r="B554"/>
      <c r="C554"/>
      <c r="D55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/>
      <c r="Q554"/>
      <c r="R554"/>
      <c r="AA554"/>
    </row>
    <row r="555" spans="1:27" x14ac:dyDescent="0.25">
      <c r="A555"/>
      <c r="B555"/>
      <c r="C555"/>
      <c r="D55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/>
      <c r="Q555"/>
      <c r="R555"/>
      <c r="AA555"/>
    </row>
    <row r="556" spans="1:27" x14ac:dyDescent="0.25">
      <c r="A556"/>
      <c r="B556"/>
      <c r="C556"/>
      <c r="D55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/>
      <c r="Q556"/>
      <c r="R556"/>
      <c r="AA556"/>
    </row>
    <row r="557" spans="1:27" x14ac:dyDescent="0.25">
      <c r="A557"/>
      <c r="B557"/>
      <c r="C557"/>
      <c r="D557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/>
      <c r="Q557"/>
      <c r="R557"/>
      <c r="AA557"/>
    </row>
    <row r="558" spans="1:27" x14ac:dyDescent="0.25">
      <c r="A558"/>
      <c r="B558"/>
      <c r="C558"/>
      <c r="D558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/>
      <c r="Q558"/>
      <c r="R558"/>
      <c r="AA558"/>
    </row>
    <row r="559" spans="1:27" x14ac:dyDescent="0.25">
      <c r="A559"/>
      <c r="B559"/>
      <c r="C559"/>
      <c r="D559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/>
      <c r="Q559"/>
      <c r="R559"/>
      <c r="AA559"/>
    </row>
    <row r="560" spans="1:27" x14ac:dyDescent="0.25">
      <c r="A560"/>
      <c r="B560"/>
      <c r="C560"/>
      <c r="D560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/>
      <c r="Q560"/>
      <c r="R560"/>
      <c r="AA560"/>
    </row>
    <row r="561" spans="1:27" x14ac:dyDescent="0.25">
      <c r="A561"/>
      <c r="B561"/>
      <c r="C561"/>
      <c r="D56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/>
      <c r="Q561"/>
      <c r="R561"/>
      <c r="AA561"/>
    </row>
    <row r="562" spans="1:27" x14ac:dyDescent="0.25">
      <c r="A562"/>
      <c r="B562"/>
      <c r="C562"/>
      <c r="D56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/>
      <c r="Q562"/>
      <c r="R562"/>
      <c r="AA562"/>
    </row>
    <row r="563" spans="1:27" x14ac:dyDescent="0.25">
      <c r="A563"/>
      <c r="B563"/>
      <c r="C563"/>
      <c r="D56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/>
      <c r="Q563"/>
      <c r="R563"/>
      <c r="AA563"/>
    </row>
    <row r="564" spans="1:27" x14ac:dyDescent="0.25">
      <c r="A564"/>
      <c r="B564"/>
      <c r="C564"/>
      <c r="D56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/>
      <c r="Q564"/>
      <c r="R564"/>
      <c r="AA564"/>
    </row>
    <row r="565" spans="1:27" x14ac:dyDescent="0.25">
      <c r="A565"/>
      <c r="B565"/>
      <c r="C565"/>
      <c r="D56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/>
      <c r="Q565"/>
      <c r="R565"/>
      <c r="AA565"/>
    </row>
    <row r="566" spans="1:27" x14ac:dyDescent="0.25">
      <c r="A566"/>
      <c r="B566"/>
      <c r="C566"/>
      <c r="D56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/>
      <c r="Q566"/>
      <c r="R566"/>
      <c r="AA566"/>
    </row>
    <row r="567" spans="1:27" x14ac:dyDescent="0.25">
      <c r="A567"/>
      <c r="B567"/>
      <c r="C567"/>
      <c r="D567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/>
      <c r="Q567"/>
      <c r="R567"/>
      <c r="AA567"/>
    </row>
    <row r="568" spans="1:27" x14ac:dyDescent="0.25">
      <c r="A568"/>
      <c r="B568"/>
      <c r="C568"/>
      <c r="D568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/>
      <c r="Q568"/>
      <c r="R568"/>
      <c r="AA568"/>
    </row>
    <row r="569" spans="1:27" x14ac:dyDescent="0.25">
      <c r="A569"/>
      <c r="B569"/>
      <c r="C569"/>
      <c r="D569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/>
      <c r="Q569"/>
      <c r="R569"/>
      <c r="AA569"/>
    </row>
    <row r="570" spans="1:27" x14ac:dyDescent="0.25">
      <c r="A570"/>
      <c r="B570"/>
      <c r="C570"/>
      <c r="D570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/>
      <c r="Q570"/>
      <c r="R570"/>
      <c r="AA570"/>
    </row>
    <row r="571" spans="1:27" x14ac:dyDescent="0.25">
      <c r="A571"/>
      <c r="B571"/>
      <c r="C571"/>
      <c r="D57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/>
      <c r="Q571"/>
      <c r="R571"/>
      <c r="AA571"/>
    </row>
    <row r="572" spans="1:27" x14ac:dyDescent="0.25">
      <c r="A572"/>
      <c r="B572"/>
      <c r="C572"/>
      <c r="D57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/>
      <c r="Q572"/>
      <c r="R572"/>
      <c r="AA572"/>
    </row>
    <row r="573" spans="1:27" x14ac:dyDescent="0.25">
      <c r="A573"/>
      <c r="B573"/>
      <c r="C573"/>
      <c r="D57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/>
      <c r="Q573"/>
      <c r="R573"/>
      <c r="AA573"/>
    </row>
    <row r="574" spans="1:27" x14ac:dyDescent="0.25">
      <c r="A574"/>
      <c r="B574"/>
      <c r="C574"/>
      <c r="D57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/>
      <c r="Q574"/>
      <c r="R574"/>
      <c r="AA574"/>
    </row>
    <row r="575" spans="1:27" x14ac:dyDescent="0.25">
      <c r="A575"/>
      <c r="B575"/>
      <c r="C575"/>
      <c r="D57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/>
      <c r="Q575"/>
      <c r="R575"/>
      <c r="AA575"/>
    </row>
    <row r="576" spans="1:27" x14ac:dyDescent="0.25">
      <c r="A576"/>
      <c r="B576"/>
      <c r="C576"/>
      <c r="D57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/>
      <c r="Q576"/>
      <c r="R576"/>
      <c r="AA576"/>
    </row>
    <row r="577" spans="1:27" x14ac:dyDescent="0.25">
      <c r="A577"/>
      <c r="B577"/>
      <c r="C577"/>
      <c r="D577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/>
      <c r="Q577"/>
      <c r="R577"/>
      <c r="AA577"/>
    </row>
    <row r="578" spans="1:27" x14ac:dyDescent="0.25">
      <c r="A578"/>
      <c r="B578"/>
      <c r="C578"/>
      <c r="D578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/>
      <c r="Q578"/>
      <c r="R578"/>
      <c r="AA578"/>
    </row>
    <row r="579" spans="1:27" x14ac:dyDescent="0.25">
      <c r="A579"/>
      <c r="B579"/>
      <c r="C579"/>
      <c r="D579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/>
      <c r="Q579"/>
      <c r="R579"/>
      <c r="AA579"/>
    </row>
    <row r="580" spans="1:27" x14ac:dyDescent="0.25">
      <c r="A580"/>
      <c r="B580"/>
      <c r="C580"/>
      <c r="D580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/>
      <c r="Q580"/>
      <c r="R580"/>
      <c r="AA580"/>
    </row>
    <row r="581" spans="1:27" x14ac:dyDescent="0.25">
      <c r="A581"/>
      <c r="B581"/>
      <c r="C581"/>
      <c r="D58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/>
      <c r="Q581"/>
      <c r="R581"/>
      <c r="AA581"/>
    </row>
    <row r="582" spans="1:27" x14ac:dyDescent="0.25">
      <c r="A582"/>
      <c r="B582"/>
      <c r="C582"/>
      <c r="D58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/>
      <c r="Q582"/>
      <c r="R582"/>
      <c r="AA582"/>
    </row>
    <row r="583" spans="1:27" x14ac:dyDescent="0.25">
      <c r="A583"/>
      <c r="B583"/>
      <c r="C583"/>
      <c r="D58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/>
      <c r="Q583"/>
      <c r="R583"/>
      <c r="AA583"/>
    </row>
    <row r="584" spans="1:27" x14ac:dyDescent="0.25">
      <c r="A584"/>
      <c r="B584"/>
      <c r="C584"/>
      <c r="D58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/>
      <c r="Q584"/>
      <c r="R584"/>
      <c r="AA584"/>
    </row>
    <row r="585" spans="1:27" x14ac:dyDescent="0.25">
      <c r="A585"/>
      <c r="B585"/>
      <c r="C585"/>
      <c r="D58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/>
      <c r="Q585"/>
      <c r="R585"/>
      <c r="AA585"/>
    </row>
    <row r="586" spans="1:27" x14ac:dyDescent="0.25">
      <c r="A586"/>
      <c r="B586"/>
      <c r="C586"/>
      <c r="D58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/>
      <c r="Q586"/>
      <c r="R586"/>
      <c r="AA586"/>
    </row>
    <row r="587" spans="1:27" x14ac:dyDescent="0.25">
      <c r="A587"/>
      <c r="B587"/>
      <c r="C587"/>
      <c r="D587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/>
      <c r="Q587"/>
      <c r="R587"/>
      <c r="AA587"/>
    </row>
    <row r="588" spans="1:27" x14ac:dyDescent="0.25">
      <c r="A588"/>
      <c r="B588"/>
      <c r="C588"/>
      <c r="D588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/>
      <c r="Q588"/>
      <c r="R588"/>
      <c r="AA588"/>
    </row>
    <row r="589" spans="1:27" x14ac:dyDescent="0.25">
      <c r="A589"/>
      <c r="B589"/>
      <c r="C589"/>
      <c r="D589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/>
      <c r="Q589"/>
      <c r="R589"/>
      <c r="AA589"/>
    </row>
    <row r="590" spans="1:27" x14ac:dyDescent="0.25">
      <c r="A590"/>
      <c r="B590"/>
      <c r="C590"/>
      <c r="D590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/>
      <c r="Q590"/>
      <c r="R590"/>
      <c r="AA590"/>
    </row>
    <row r="591" spans="1:27" x14ac:dyDescent="0.25">
      <c r="A591"/>
      <c r="B591"/>
      <c r="C591"/>
      <c r="D59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/>
      <c r="Q591"/>
      <c r="R591"/>
      <c r="AA591"/>
    </row>
    <row r="592" spans="1:27" x14ac:dyDescent="0.25">
      <c r="A592"/>
      <c r="B592"/>
      <c r="C592"/>
      <c r="D59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/>
      <c r="Q592"/>
      <c r="R592"/>
      <c r="AA592"/>
    </row>
    <row r="593" spans="1:27" x14ac:dyDescent="0.25">
      <c r="A593"/>
      <c r="B593"/>
      <c r="C593"/>
      <c r="D59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/>
      <c r="Q593"/>
      <c r="R593"/>
      <c r="AA593"/>
    </row>
    <row r="594" spans="1:27" x14ac:dyDescent="0.25">
      <c r="A594"/>
      <c r="B594"/>
      <c r="C594"/>
      <c r="D59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/>
      <c r="Q594"/>
      <c r="R594"/>
      <c r="AA594"/>
    </row>
    <row r="595" spans="1:27" x14ac:dyDescent="0.25">
      <c r="A595"/>
      <c r="B595"/>
      <c r="C595"/>
      <c r="D59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/>
      <c r="Q595"/>
      <c r="R595"/>
      <c r="AA595"/>
    </row>
    <row r="596" spans="1:27" x14ac:dyDescent="0.25">
      <c r="A596"/>
      <c r="B596"/>
      <c r="C596"/>
      <c r="D59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/>
      <c r="Q596"/>
      <c r="R596"/>
      <c r="AA596"/>
    </row>
    <row r="597" spans="1:27" x14ac:dyDescent="0.25">
      <c r="A597"/>
      <c r="B597"/>
      <c r="C597"/>
      <c r="D597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/>
      <c r="Q597"/>
      <c r="R597"/>
      <c r="AA597"/>
    </row>
    <row r="598" spans="1:27" x14ac:dyDescent="0.25">
      <c r="A598"/>
      <c r="B598"/>
      <c r="C598"/>
      <c r="D598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/>
      <c r="Q598"/>
      <c r="R598"/>
      <c r="AA598"/>
    </row>
    <row r="599" spans="1:27" x14ac:dyDescent="0.25">
      <c r="A599"/>
      <c r="B599"/>
      <c r="C599"/>
      <c r="D599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/>
      <c r="Q599"/>
      <c r="R599"/>
      <c r="AA599"/>
    </row>
    <row r="600" spans="1:27" x14ac:dyDescent="0.25">
      <c r="A600"/>
      <c r="B600"/>
      <c r="C600"/>
      <c r="D600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/>
      <c r="Q600"/>
      <c r="R600"/>
      <c r="AA600"/>
    </row>
    <row r="601" spans="1:27" x14ac:dyDescent="0.25">
      <c r="A601"/>
      <c r="B601"/>
      <c r="C601"/>
      <c r="D60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/>
      <c r="Q601"/>
      <c r="R601"/>
      <c r="AA601"/>
    </row>
    <row r="602" spans="1:27" x14ac:dyDescent="0.25">
      <c r="A602"/>
      <c r="B602"/>
      <c r="C602"/>
      <c r="D60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/>
      <c r="Q602"/>
      <c r="R602"/>
      <c r="AA602"/>
    </row>
    <row r="603" spans="1:27" x14ac:dyDescent="0.25">
      <c r="A603"/>
      <c r="B603"/>
      <c r="C603"/>
      <c r="D60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/>
      <c r="Q603"/>
      <c r="R603"/>
      <c r="AA603"/>
    </row>
    <row r="604" spans="1:27" x14ac:dyDescent="0.25">
      <c r="A604"/>
      <c r="B604"/>
      <c r="C604"/>
      <c r="D60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/>
      <c r="Q604"/>
      <c r="R604"/>
      <c r="AA604"/>
    </row>
    <row r="605" spans="1:27" x14ac:dyDescent="0.25">
      <c r="A605"/>
      <c r="B605"/>
      <c r="C605"/>
      <c r="D60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/>
      <c r="Q605"/>
      <c r="R605"/>
      <c r="AA605"/>
    </row>
    <row r="606" spans="1:27" x14ac:dyDescent="0.25">
      <c r="A606"/>
      <c r="B606"/>
      <c r="C606"/>
      <c r="D60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/>
      <c r="Q606"/>
      <c r="R606"/>
      <c r="AA606"/>
    </row>
    <row r="607" spans="1:27" x14ac:dyDescent="0.25">
      <c r="A607"/>
      <c r="B607"/>
      <c r="C607"/>
      <c r="D607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/>
      <c r="Q607"/>
      <c r="R607"/>
      <c r="AA607"/>
    </row>
    <row r="608" spans="1:27" x14ac:dyDescent="0.25">
      <c r="A608"/>
      <c r="B608"/>
      <c r="C608"/>
      <c r="D608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/>
      <c r="Q608"/>
      <c r="R608"/>
      <c r="AA608"/>
    </row>
    <row r="609" spans="1:27" x14ac:dyDescent="0.25">
      <c r="A609"/>
      <c r="B609"/>
      <c r="C609"/>
      <c r="D609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/>
      <c r="Q609"/>
      <c r="R609"/>
      <c r="AA609"/>
    </row>
    <row r="610" spans="1:27" x14ac:dyDescent="0.25">
      <c r="A610"/>
      <c r="B610"/>
      <c r="C610"/>
      <c r="D610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/>
      <c r="Q610"/>
      <c r="R610"/>
      <c r="AA610"/>
    </row>
    <row r="611" spans="1:27" x14ac:dyDescent="0.25">
      <c r="A611"/>
      <c r="B611"/>
      <c r="C611"/>
      <c r="D61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/>
      <c r="Q611"/>
      <c r="R611"/>
      <c r="AA611"/>
    </row>
    <row r="612" spans="1:27" x14ac:dyDescent="0.25">
      <c r="A612"/>
      <c r="B612"/>
      <c r="C612"/>
      <c r="D61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/>
      <c r="Q612"/>
      <c r="R612"/>
      <c r="AA612"/>
    </row>
    <row r="613" spans="1:27" x14ac:dyDescent="0.25">
      <c r="A613"/>
      <c r="B613"/>
      <c r="C613"/>
      <c r="D61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/>
      <c r="Q613"/>
      <c r="R613"/>
      <c r="AA613"/>
    </row>
    <row r="614" spans="1:27" x14ac:dyDescent="0.25">
      <c r="AA614"/>
    </row>
    <row r="615" spans="1:27" x14ac:dyDescent="0.25">
      <c r="AA615"/>
    </row>
  </sheetData>
  <mergeCells count="5">
    <mergeCell ref="A1:R2"/>
    <mergeCell ref="T1:V2"/>
    <mergeCell ref="Y2:AL2"/>
    <mergeCell ref="K6:M6"/>
    <mergeCell ref="K55:M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0"/>
  <sheetViews>
    <sheetView zoomScale="85" zoomScaleNormal="85" workbookViewId="0">
      <selection activeCell="W37" sqref="W37"/>
    </sheetView>
  </sheetViews>
  <sheetFormatPr defaultRowHeight="12.75" x14ac:dyDescent="0.2"/>
  <cols>
    <col min="1" max="1" width="6" style="54" customWidth="1"/>
    <col min="2" max="2" width="12.28515625" style="54" customWidth="1"/>
    <col min="3" max="4" width="9.140625" style="54"/>
    <col min="5" max="5" width="5" style="54" bestFit="1" customWidth="1"/>
    <col min="6" max="6" width="9.140625" style="54"/>
    <col min="7" max="7" width="35.140625" style="54" customWidth="1"/>
    <col min="8" max="8" width="14.28515625" style="54" bestFit="1" customWidth="1"/>
    <col min="9" max="9" width="14" style="54" customWidth="1"/>
    <col min="10" max="10" width="14.140625" style="54" customWidth="1"/>
    <col min="11" max="11" width="15.5703125" style="54" customWidth="1"/>
    <col min="12" max="12" width="15.28515625" style="54" customWidth="1"/>
    <col min="13" max="13" width="15.7109375" style="54" customWidth="1"/>
    <col min="14" max="14" width="15.28515625" style="54" customWidth="1"/>
    <col min="15" max="254" width="9.140625" style="54"/>
    <col min="255" max="255" width="6.42578125" style="54" bestFit="1" customWidth="1"/>
    <col min="256" max="256" width="12.28515625" style="54" customWidth="1"/>
    <col min="257" max="258" width="9.140625" style="54"/>
    <col min="259" max="259" width="5" style="54" bestFit="1" customWidth="1"/>
    <col min="260" max="260" width="9.140625" style="54"/>
    <col min="261" max="261" width="22" style="54" customWidth="1"/>
    <col min="262" max="262" width="12.85546875" style="54" bestFit="1" customWidth="1"/>
    <col min="263" max="265" width="12.85546875" style="54" customWidth="1"/>
    <col min="266" max="266" width="11.28515625" style="54" bestFit="1" customWidth="1"/>
    <col min="267" max="267" width="13.7109375" style="54" customWidth="1"/>
    <col min="268" max="268" width="13.28515625" style="54" bestFit="1" customWidth="1"/>
    <col min="269" max="269" width="12.140625" style="54" bestFit="1" customWidth="1"/>
    <col min="270" max="510" width="9.140625" style="54"/>
    <col min="511" max="511" width="6.42578125" style="54" bestFit="1" customWidth="1"/>
    <col min="512" max="512" width="12.28515625" style="54" customWidth="1"/>
    <col min="513" max="514" width="9.140625" style="54"/>
    <col min="515" max="515" width="5" style="54" bestFit="1" customWidth="1"/>
    <col min="516" max="516" width="9.140625" style="54"/>
    <col min="517" max="517" width="22" style="54" customWidth="1"/>
    <col min="518" max="518" width="12.85546875" style="54" bestFit="1" customWidth="1"/>
    <col min="519" max="521" width="12.85546875" style="54" customWidth="1"/>
    <col min="522" max="522" width="11.28515625" style="54" bestFit="1" customWidth="1"/>
    <col min="523" max="523" width="13.7109375" style="54" customWidth="1"/>
    <col min="524" max="524" width="13.28515625" style="54" bestFit="1" customWidth="1"/>
    <col min="525" max="525" width="12.140625" style="54" bestFit="1" customWidth="1"/>
    <col min="526" max="766" width="9.140625" style="54"/>
    <col min="767" max="767" width="6.42578125" style="54" bestFit="1" customWidth="1"/>
    <col min="768" max="768" width="12.28515625" style="54" customWidth="1"/>
    <col min="769" max="770" width="9.140625" style="54"/>
    <col min="771" max="771" width="5" style="54" bestFit="1" customWidth="1"/>
    <col min="772" max="772" width="9.140625" style="54"/>
    <col min="773" max="773" width="22" style="54" customWidth="1"/>
    <col min="774" max="774" width="12.85546875" style="54" bestFit="1" customWidth="1"/>
    <col min="775" max="777" width="12.85546875" style="54" customWidth="1"/>
    <col min="778" max="778" width="11.28515625" style="54" bestFit="1" customWidth="1"/>
    <col min="779" max="779" width="13.7109375" style="54" customWidth="1"/>
    <col min="780" max="780" width="13.28515625" style="54" bestFit="1" customWidth="1"/>
    <col min="781" max="781" width="12.140625" style="54" bestFit="1" customWidth="1"/>
    <col min="782" max="1022" width="9.140625" style="54"/>
    <col min="1023" max="1023" width="6.42578125" style="54" bestFit="1" customWidth="1"/>
    <col min="1024" max="1024" width="12.28515625" style="54" customWidth="1"/>
    <col min="1025" max="1026" width="9.140625" style="54"/>
    <col min="1027" max="1027" width="5" style="54" bestFit="1" customWidth="1"/>
    <col min="1028" max="1028" width="9.140625" style="54"/>
    <col min="1029" max="1029" width="22" style="54" customWidth="1"/>
    <col min="1030" max="1030" width="12.85546875" style="54" bestFit="1" customWidth="1"/>
    <col min="1031" max="1033" width="12.85546875" style="54" customWidth="1"/>
    <col min="1034" max="1034" width="11.28515625" style="54" bestFit="1" customWidth="1"/>
    <col min="1035" max="1035" width="13.7109375" style="54" customWidth="1"/>
    <col min="1036" max="1036" width="13.28515625" style="54" bestFit="1" customWidth="1"/>
    <col min="1037" max="1037" width="12.140625" style="54" bestFit="1" customWidth="1"/>
    <col min="1038" max="1278" width="9.140625" style="54"/>
    <col min="1279" max="1279" width="6.42578125" style="54" bestFit="1" customWidth="1"/>
    <col min="1280" max="1280" width="12.28515625" style="54" customWidth="1"/>
    <col min="1281" max="1282" width="9.140625" style="54"/>
    <col min="1283" max="1283" width="5" style="54" bestFit="1" customWidth="1"/>
    <col min="1284" max="1284" width="9.140625" style="54"/>
    <col min="1285" max="1285" width="22" style="54" customWidth="1"/>
    <col min="1286" max="1286" width="12.85546875" style="54" bestFit="1" customWidth="1"/>
    <col min="1287" max="1289" width="12.85546875" style="54" customWidth="1"/>
    <col min="1290" max="1290" width="11.28515625" style="54" bestFit="1" customWidth="1"/>
    <col min="1291" max="1291" width="13.7109375" style="54" customWidth="1"/>
    <col min="1292" max="1292" width="13.28515625" style="54" bestFit="1" customWidth="1"/>
    <col min="1293" max="1293" width="12.140625" style="54" bestFit="1" customWidth="1"/>
    <col min="1294" max="1534" width="9.140625" style="54"/>
    <col min="1535" max="1535" width="6.42578125" style="54" bestFit="1" customWidth="1"/>
    <col min="1536" max="1536" width="12.28515625" style="54" customWidth="1"/>
    <col min="1537" max="1538" width="9.140625" style="54"/>
    <col min="1539" max="1539" width="5" style="54" bestFit="1" customWidth="1"/>
    <col min="1540" max="1540" width="9.140625" style="54"/>
    <col min="1541" max="1541" width="22" style="54" customWidth="1"/>
    <col min="1542" max="1542" width="12.85546875" style="54" bestFit="1" customWidth="1"/>
    <col min="1543" max="1545" width="12.85546875" style="54" customWidth="1"/>
    <col min="1546" max="1546" width="11.28515625" style="54" bestFit="1" customWidth="1"/>
    <col min="1547" max="1547" width="13.7109375" style="54" customWidth="1"/>
    <col min="1548" max="1548" width="13.28515625" style="54" bestFit="1" customWidth="1"/>
    <col min="1549" max="1549" width="12.140625" style="54" bestFit="1" customWidth="1"/>
    <col min="1550" max="1790" width="9.140625" style="54"/>
    <col min="1791" max="1791" width="6.42578125" style="54" bestFit="1" customWidth="1"/>
    <col min="1792" max="1792" width="12.28515625" style="54" customWidth="1"/>
    <col min="1793" max="1794" width="9.140625" style="54"/>
    <col min="1795" max="1795" width="5" style="54" bestFit="1" customWidth="1"/>
    <col min="1796" max="1796" width="9.140625" style="54"/>
    <col min="1797" max="1797" width="22" style="54" customWidth="1"/>
    <col min="1798" max="1798" width="12.85546875" style="54" bestFit="1" customWidth="1"/>
    <col min="1799" max="1801" width="12.85546875" style="54" customWidth="1"/>
    <col min="1802" max="1802" width="11.28515625" style="54" bestFit="1" customWidth="1"/>
    <col min="1803" max="1803" width="13.7109375" style="54" customWidth="1"/>
    <col min="1804" max="1804" width="13.28515625" style="54" bestFit="1" customWidth="1"/>
    <col min="1805" max="1805" width="12.140625" style="54" bestFit="1" customWidth="1"/>
    <col min="1806" max="2046" width="9.140625" style="54"/>
    <col min="2047" max="2047" width="6.42578125" style="54" bestFit="1" customWidth="1"/>
    <col min="2048" max="2048" width="12.28515625" style="54" customWidth="1"/>
    <col min="2049" max="2050" width="9.140625" style="54"/>
    <col min="2051" max="2051" width="5" style="54" bestFit="1" customWidth="1"/>
    <col min="2052" max="2052" width="9.140625" style="54"/>
    <col min="2053" max="2053" width="22" style="54" customWidth="1"/>
    <col min="2054" max="2054" width="12.85546875" style="54" bestFit="1" customWidth="1"/>
    <col min="2055" max="2057" width="12.85546875" style="54" customWidth="1"/>
    <col min="2058" max="2058" width="11.28515625" style="54" bestFit="1" customWidth="1"/>
    <col min="2059" max="2059" width="13.7109375" style="54" customWidth="1"/>
    <col min="2060" max="2060" width="13.28515625" style="54" bestFit="1" customWidth="1"/>
    <col min="2061" max="2061" width="12.140625" style="54" bestFit="1" customWidth="1"/>
    <col min="2062" max="2302" width="9.140625" style="54"/>
    <col min="2303" max="2303" width="6.42578125" style="54" bestFit="1" customWidth="1"/>
    <col min="2304" max="2304" width="12.28515625" style="54" customWidth="1"/>
    <col min="2305" max="2306" width="9.140625" style="54"/>
    <col min="2307" max="2307" width="5" style="54" bestFit="1" customWidth="1"/>
    <col min="2308" max="2308" width="9.140625" style="54"/>
    <col min="2309" max="2309" width="22" style="54" customWidth="1"/>
    <col min="2310" max="2310" width="12.85546875" style="54" bestFit="1" customWidth="1"/>
    <col min="2311" max="2313" width="12.85546875" style="54" customWidth="1"/>
    <col min="2314" max="2314" width="11.28515625" style="54" bestFit="1" customWidth="1"/>
    <col min="2315" max="2315" width="13.7109375" style="54" customWidth="1"/>
    <col min="2316" max="2316" width="13.28515625" style="54" bestFit="1" customWidth="1"/>
    <col min="2317" max="2317" width="12.140625" style="54" bestFit="1" customWidth="1"/>
    <col min="2318" max="2558" width="9.140625" style="54"/>
    <col min="2559" max="2559" width="6.42578125" style="54" bestFit="1" customWidth="1"/>
    <col min="2560" max="2560" width="12.28515625" style="54" customWidth="1"/>
    <col min="2561" max="2562" width="9.140625" style="54"/>
    <col min="2563" max="2563" width="5" style="54" bestFit="1" customWidth="1"/>
    <col min="2564" max="2564" width="9.140625" style="54"/>
    <col min="2565" max="2565" width="22" style="54" customWidth="1"/>
    <col min="2566" max="2566" width="12.85546875" style="54" bestFit="1" customWidth="1"/>
    <col min="2567" max="2569" width="12.85546875" style="54" customWidth="1"/>
    <col min="2570" max="2570" width="11.28515625" style="54" bestFit="1" customWidth="1"/>
    <col min="2571" max="2571" width="13.7109375" style="54" customWidth="1"/>
    <col min="2572" max="2572" width="13.28515625" style="54" bestFit="1" customWidth="1"/>
    <col min="2573" max="2573" width="12.140625" style="54" bestFit="1" customWidth="1"/>
    <col min="2574" max="2814" width="9.140625" style="54"/>
    <col min="2815" max="2815" width="6.42578125" style="54" bestFit="1" customWidth="1"/>
    <col min="2816" max="2816" width="12.28515625" style="54" customWidth="1"/>
    <col min="2817" max="2818" width="9.140625" style="54"/>
    <col min="2819" max="2819" width="5" style="54" bestFit="1" customWidth="1"/>
    <col min="2820" max="2820" width="9.140625" style="54"/>
    <col min="2821" max="2821" width="22" style="54" customWidth="1"/>
    <col min="2822" max="2822" width="12.85546875" style="54" bestFit="1" customWidth="1"/>
    <col min="2823" max="2825" width="12.85546875" style="54" customWidth="1"/>
    <col min="2826" max="2826" width="11.28515625" style="54" bestFit="1" customWidth="1"/>
    <col min="2827" max="2827" width="13.7109375" style="54" customWidth="1"/>
    <col min="2828" max="2828" width="13.28515625" style="54" bestFit="1" customWidth="1"/>
    <col min="2829" max="2829" width="12.140625" style="54" bestFit="1" customWidth="1"/>
    <col min="2830" max="3070" width="9.140625" style="54"/>
    <col min="3071" max="3071" width="6.42578125" style="54" bestFit="1" customWidth="1"/>
    <col min="3072" max="3072" width="12.28515625" style="54" customWidth="1"/>
    <col min="3073" max="3074" width="9.140625" style="54"/>
    <col min="3075" max="3075" width="5" style="54" bestFit="1" customWidth="1"/>
    <col min="3076" max="3076" width="9.140625" style="54"/>
    <col min="3077" max="3077" width="22" style="54" customWidth="1"/>
    <col min="3078" max="3078" width="12.85546875" style="54" bestFit="1" customWidth="1"/>
    <col min="3079" max="3081" width="12.85546875" style="54" customWidth="1"/>
    <col min="3082" max="3082" width="11.28515625" style="54" bestFit="1" customWidth="1"/>
    <col min="3083" max="3083" width="13.7109375" style="54" customWidth="1"/>
    <col min="3084" max="3084" width="13.28515625" style="54" bestFit="1" customWidth="1"/>
    <col min="3085" max="3085" width="12.140625" style="54" bestFit="1" customWidth="1"/>
    <col min="3086" max="3326" width="9.140625" style="54"/>
    <col min="3327" max="3327" width="6.42578125" style="54" bestFit="1" customWidth="1"/>
    <col min="3328" max="3328" width="12.28515625" style="54" customWidth="1"/>
    <col min="3329" max="3330" width="9.140625" style="54"/>
    <col min="3331" max="3331" width="5" style="54" bestFit="1" customWidth="1"/>
    <col min="3332" max="3332" width="9.140625" style="54"/>
    <col min="3333" max="3333" width="22" style="54" customWidth="1"/>
    <col min="3334" max="3334" width="12.85546875" style="54" bestFit="1" customWidth="1"/>
    <col min="3335" max="3337" width="12.85546875" style="54" customWidth="1"/>
    <col min="3338" max="3338" width="11.28515625" style="54" bestFit="1" customWidth="1"/>
    <col min="3339" max="3339" width="13.7109375" style="54" customWidth="1"/>
    <col min="3340" max="3340" width="13.28515625" style="54" bestFit="1" customWidth="1"/>
    <col min="3341" max="3341" width="12.140625" style="54" bestFit="1" customWidth="1"/>
    <col min="3342" max="3582" width="9.140625" style="54"/>
    <col min="3583" max="3583" width="6.42578125" style="54" bestFit="1" customWidth="1"/>
    <col min="3584" max="3584" width="12.28515625" style="54" customWidth="1"/>
    <col min="3585" max="3586" width="9.140625" style="54"/>
    <col min="3587" max="3587" width="5" style="54" bestFit="1" customWidth="1"/>
    <col min="3588" max="3588" width="9.140625" style="54"/>
    <col min="3589" max="3589" width="22" style="54" customWidth="1"/>
    <col min="3590" max="3590" width="12.85546875" style="54" bestFit="1" customWidth="1"/>
    <col min="3591" max="3593" width="12.85546875" style="54" customWidth="1"/>
    <col min="3594" max="3594" width="11.28515625" style="54" bestFit="1" customWidth="1"/>
    <col min="3595" max="3595" width="13.7109375" style="54" customWidth="1"/>
    <col min="3596" max="3596" width="13.28515625" style="54" bestFit="1" customWidth="1"/>
    <col min="3597" max="3597" width="12.140625" style="54" bestFit="1" customWidth="1"/>
    <col min="3598" max="3838" width="9.140625" style="54"/>
    <col min="3839" max="3839" width="6.42578125" style="54" bestFit="1" customWidth="1"/>
    <col min="3840" max="3840" width="12.28515625" style="54" customWidth="1"/>
    <col min="3841" max="3842" width="9.140625" style="54"/>
    <col min="3843" max="3843" width="5" style="54" bestFit="1" customWidth="1"/>
    <col min="3844" max="3844" width="9.140625" style="54"/>
    <col min="3845" max="3845" width="22" style="54" customWidth="1"/>
    <col min="3846" max="3846" width="12.85546875" style="54" bestFit="1" customWidth="1"/>
    <col min="3847" max="3849" width="12.85546875" style="54" customWidth="1"/>
    <col min="3850" max="3850" width="11.28515625" style="54" bestFit="1" customWidth="1"/>
    <col min="3851" max="3851" width="13.7109375" style="54" customWidth="1"/>
    <col min="3852" max="3852" width="13.28515625" style="54" bestFit="1" customWidth="1"/>
    <col min="3853" max="3853" width="12.140625" style="54" bestFit="1" customWidth="1"/>
    <col min="3854" max="4094" width="9.140625" style="54"/>
    <col min="4095" max="4095" width="6.42578125" style="54" bestFit="1" customWidth="1"/>
    <col min="4096" max="4096" width="12.28515625" style="54" customWidth="1"/>
    <col min="4097" max="4098" width="9.140625" style="54"/>
    <col min="4099" max="4099" width="5" style="54" bestFit="1" customWidth="1"/>
    <col min="4100" max="4100" width="9.140625" style="54"/>
    <col min="4101" max="4101" width="22" style="54" customWidth="1"/>
    <col min="4102" max="4102" width="12.85546875" style="54" bestFit="1" customWidth="1"/>
    <col min="4103" max="4105" width="12.85546875" style="54" customWidth="1"/>
    <col min="4106" max="4106" width="11.28515625" style="54" bestFit="1" customWidth="1"/>
    <col min="4107" max="4107" width="13.7109375" style="54" customWidth="1"/>
    <col min="4108" max="4108" width="13.28515625" style="54" bestFit="1" customWidth="1"/>
    <col min="4109" max="4109" width="12.140625" style="54" bestFit="1" customWidth="1"/>
    <col min="4110" max="4350" width="9.140625" style="54"/>
    <col min="4351" max="4351" width="6.42578125" style="54" bestFit="1" customWidth="1"/>
    <col min="4352" max="4352" width="12.28515625" style="54" customWidth="1"/>
    <col min="4353" max="4354" width="9.140625" style="54"/>
    <col min="4355" max="4355" width="5" style="54" bestFit="1" customWidth="1"/>
    <col min="4356" max="4356" width="9.140625" style="54"/>
    <col min="4357" max="4357" width="22" style="54" customWidth="1"/>
    <col min="4358" max="4358" width="12.85546875" style="54" bestFit="1" customWidth="1"/>
    <col min="4359" max="4361" width="12.85546875" style="54" customWidth="1"/>
    <col min="4362" max="4362" width="11.28515625" style="54" bestFit="1" customWidth="1"/>
    <col min="4363" max="4363" width="13.7109375" style="54" customWidth="1"/>
    <col min="4364" max="4364" width="13.28515625" style="54" bestFit="1" customWidth="1"/>
    <col min="4365" max="4365" width="12.140625" style="54" bestFit="1" customWidth="1"/>
    <col min="4366" max="4606" width="9.140625" style="54"/>
    <col min="4607" max="4607" width="6.42578125" style="54" bestFit="1" customWidth="1"/>
    <col min="4608" max="4608" width="12.28515625" style="54" customWidth="1"/>
    <col min="4609" max="4610" width="9.140625" style="54"/>
    <col min="4611" max="4611" width="5" style="54" bestFit="1" customWidth="1"/>
    <col min="4612" max="4612" width="9.140625" style="54"/>
    <col min="4613" max="4613" width="22" style="54" customWidth="1"/>
    <col min="4614" max="4614" width="12.85546875" style="54" bestFit="1" customWidth="1"/>
    <col min="4615" max="4617" width="12.85546875" style="54" customWidth="1"/>
    <col min="4618" max="4618" width="11.28515625" style="54" bestFit="1" customWidth="1"/>
    <col min="4619" max="4619" width="13.7109375" style="54" customWidth="1"/>
    <col min="4620" max="4620" width="13.28515625" style="54" bestFit="1" customWidth="1"/>
    <col min="4621" max="4621" width="12.140625" style="54" bestFit="1" customWidth="1"/>
    <col min="4622" max="4862" width="9.140625" style="54"/>
    <col min="4863" max="4863" width="6.42578125" style="54" bestFit="1" customWidth="1"/>
    <col min="4864" max="4864" width="12.28515625" style="54" customWidth="1"/>
    <col min="4865" max="4866" width="9.140625" style="54"/>
    <col min="4867" max="4867" width="5" style="54" bestFit="1" customWidth="1"/>
    <col min="4868" max="4868" width="9.140625" style="54"/>
    <col min="4869" max="4869" width="22" style="54" customWidth="1"/>
    <col min="4870" max="4870" width="12.85546875" style="54" bestFit="1" customWidth="1"/>
    <col min="4871" max="4873" width="12.85546875" style="54" customWidth="1"/>
    <col min="4874" max="4874" width="11.28515625" style="54" bestFit="1" customWidth="1"/>
    <col min="4875" max="4875" width="13.7109375" style="54" customWidth="1"/>
    <col min="4876" max="4876" width="13.28515625" style="54" bestFit="1" customWidth="1"/>
    <col min="4877" max="4877" width="12.140625" style="54" bestFit="1" customWidth="1"/>
    <col min="4878" max="5118" width="9.140625" style="54"/>
    <col min="5119" max="5119" width="6.42578125" style="54" bestFit="1" customWidth="1"/>
    <col min="5120" max="5120" width="12.28515625" style="54" customWidth="1"/>
    <col min="5121" max="5122" width="9.140625" style="54"/>
    <col min="5123" max="5123" width="5" style="54" bestFit="1" customWidth="1"/>
    <col min="5124" max="5124" width="9.140625" style="54"/>
    <col min="5125" max="5125" width="22" style="54" customWidth="1"/>
    <col min="5126" max="5126" width="12.85546875" style="54" bestFit="1" customWidth="1"/>
    <col min="5127" max="5129" width="12.85546875" style="54" customWidth="1"/>
    <col min="5130" max="5130" width="11.28515625" style="54" bestFit="1" customWidth="1"/>
    <col min="5131" max="5131" width="13.7109375" style="54" customWidth="1"/>
    <col min="5132" max="5132" width="13.28515625" style="54" bestFit="1" customWidth="1"/>
    <col min="5133" max="5133" width="12.140625" style="54" bestFit="1" customWidth="1"/>
    <col min="5134" max="5374" width="9.140625" style="54"/>
    <col min="5375" max="5375" width="6.42578125" style="54" bestFit="1" customWidth="1"/>
    <col min="5376" max="5376" width="12.28515625" style="54" customWidth="1"/>
    <col min="5377" max="5378" width="9.140625" style="54"/>
    <col min="5379" max="5379" width="5" style="54" bestFit="1" customWidth="1"/>
    <col min="5380" max="5380" width="9.140625" style="54"/>
    <col min="5381" max="5381" width="22" style="54" customWidth="1"/>
    <col min="5382" max="5382" width="12.85546875" style="54" bestFit="1" customWidth="1"/>
    <col min="5383" max="5385" width="12.85546875" style="54" customWidth="1"/>
    <col min="5386" max="5386" width="11.28515625" style="54" bestFit="1" customWidth="1"/>
    <col min="5387" max="5387" width="13.7109375" style="54" customWidth="1"/>
    <col min="5388" max="5388" width="13.28515625" style="54" bestFit="1" customWidth="1"/>
    <col min="5389" max="5389" width="12.140625" style="54" bestFit="1" customWidth="1"/>
    <col min="5390" max="5630" width="9.140625" style="54"/>
    <col min="5631" max="5631" width="6.42578125" style="54" bestFit="1" customWidth="1"/>
    <col min="5632" max="5632" width="12.28515625" style="54" customWidth="1"/>
    <col min="5633" max="5634" width="9.140625" style="54"/>
    <col min="5635" max="5635" width="5" style="54" bestFit="1" customWidth="1"/>
    <col min="5636" max="5636" width="9.140625" style="54"/>
    <col min="5637" max="5637" width="22" style="54" customWidth="1"/>
    <col min="5638" max="5638" width="12.85546875" style="54" bestFit="1" customWidth="1"/>
    <col min="5639" max="5641" width="12.85546875" style="54" customWidth="1"/>
    <col min="5642" max="5642" width="11.28515625" style="54" bestFit="1" customWidth="1"/>
    <col min="5643" max="5643" width="13.7109375" style="54" customWidth="1"/>
    <col min="5644" max="5644" width="13.28515625" style="54" bestFit="1" customWidth="1"/>
    <col min="5645" max="5645" width="12.140625" style="54" bestFit="1" customWidth="1"/>
    <col min="5646" max="5886" width="9.140625" style="54"/>
    <col min="5887" max="5887" width="6.42578125" style="54" bestFit="1" customWidth="1"/>
    <col min="5888" max="5888" width="12.28515625" style="54" customWidth="1"/>
    <col min="5889" max="5890" width="9.140625" style="54"/>
    <col min="5891" max="5891" width="5" style="54" bestFit="1" customWidth="1"/>
    <col min="5892" max="5892" width="9.140625" style="54"/>
    <col min="5893" max="5893" width="22" style="54" customWidth="1"/>
    <col min="5894" max="5894" width="12.85546875" style="54" bestFit="1" customWidth="1"/>
    <col min="5895" max="5897" width="12.85546875" style="54" customWidth="1"/>
    <col min="5898" max="5898" width="11.28515625" style="54" bestFit="1" customWidth="1"/>
    <col min="5899" max="5899" width="13.7109375" style="54" customWidth="1"/>
    <col min="5900" max="5900" width="13.28515625" style="54" bestFit="1" customWidth="1"/>
    <col min="5901" max="5901" width="12.140625" style="54" bestFit="1" customWidth="1"/>
    <col min="5902" max="6142" width="9.140625" style="54"/>
    <col min="6143" max="6143" width="6.42578125" style="54" bestFit="1" customWidth="1"/>
    <col min="6144" max="6144" width="12.28515625" style="54" customWidth="1"/>
    <col min="6145" max="6146" width="9.140625" style="54"/>
    <col min="6147" max="6147" width="5" style="54" bestFit="1" customWidth="1"/>
    <col min="6148" max="6148" width="9.140625" style="54"/>
    <col min="6149" max="6149" width="22" style="54" customWidth="1"/>
    <col min="6150" max="6150" width="12.85546875" style="54" bestFit="1" customWidth="1"/>
    <col min="6151" max="6153" width="12.85546875" style="54" customWidth="1"/>
    <col min="6154" max="6154" width="11.28515625" style="54" bestFit="1" customWidth="1"/>
    <col min="6155" max="6155" width="13.7109375" style="54" customWidth="1"/>
    <col min="6156" max="6156" width="13.28515625" style="54" bestFit="1" customWidth="1"/>
    <col min="6157" max="6157" width="12.140625" style="54" bestFit="1" customWidth="1"/>
    <col min="6158" max="6398" width="9.140625" style="54"/>
    <col min="6399" max="6399" width="6.42578125" style="54" bestFit="1" customWidth="1"/>
    <col min="6400" max="6400" width="12.28515625" style="54" customWidth="1"/>
    <col min="6401" max="6402" width="9.140625" style="54"/>
    <col min="6403" max="6403" width="5" style="54" bestFit="1" customWidth="1"/>
    <col min="6404" max="6404" width="9.140625" style="54"/>
    <col min="6405" max="6405" width="22" style="54" customWidth="1"/>
    <col min="6406" max="6406" width="12.85546875" style="54" bestFit="1" customWidth="1"/>
    <col min="6407" max="6409" width="12.85546875" style="54" customWidth="1"/>
    <col min="6410" max="6410" width="11.28515625" style="54" bestFit="1" customWidth="1"/>
    <col min="6411" max="6411" width="13.7109375" style="54" customWidth="1"/>
    <col min="6412" max="6412" width="13.28515625" style="54" bestFit="1" customWidth="1"/>
    <col min="6413" max="6413" width="12.140625" style="54" bestFit="1" customWidth="1"/>
    <col min="6414" max="6654" width="9.140625" style="54"/>
    <col min="6655" max="6655" width="6.42578125" style="54" bestFit="1" customWidth="1"/>
    <col min="6656" max="6656" width="12.28515625" style="54" customWidth="1"/>
    <col min="6657" max="6658" width="9.140625" style="54"/>
    <col min="6659" max="6659" width="5" style="54" bestFit="1" customWidth="1"/>
    <col min="6660" max="6660" width="9.140625" style="54"/>
    <col min="6661" max="6661" width="22" style="54" customWidth="1"/>
    <col min="6662" max="6662" width="12.85546875" style="54" bestFit="1" customWidth="1"/>
    <col min="6663" max="6665" width="12.85546875" style="54" customWidth="1"/>
    <col min="6666" max="6666" width="11.28515625" style="54" bestFit="1" customWidth="1"/>
    <col min="6667" max="6667" width="13.7109375" style="54" customWidth="1"/>
    <col min="6668" max="6668" width="13.28515625" style="54" bestFit="1" customWidth="1"/>
    <col min="6669" max="6669" width="12.140625" style="54" bestFit="1" customWidth="1"/>
    <col min="6670" max="6910" width="9.140625" style="54"/>
    <col min="6911" max="6911" width="6.42578125" style="54" bestFit="1" customWidth="1"/>
    <col min="6912" max="6912" width="12.28515625" style="54" customWidth="1"/>
    <col min="6913" max="6914" width="9.140625" style="54"/>
    <col min="6915" max="6915" width="5" style="54" bestFit="1" customWidth="1"/>
    <col min="6916" max="6916" width="9.140625" style="54"/>
    <col min="6917" max="6917" width="22" style="54" customWidth="1"/>
    <col min="6918" max="6918" width="12.85546875" style="54" bestFit="1" customWidth="1"/>
    <col min="6919" max="6921" width="12.85546875" style="54" customWidth="1"/>
    <col min="6922" max="6922" width="11.28515625" style="54" bestFit="1" customWidth="1"/>
    <col min="6923" max="6923" width="13.7109375" style="54" customWidth="1"/>
    <col min="6924" max="6924" width="13.28515625" style="54" bestFit="1" customWidth="1"/>
    <col min="6925" max="6925" width="12.140625" style="54" bestFit="1" customWidth="1"/>
    <col min="6926" max="7166" width="9.140625" style="54"/>
    <col min="7167" max="7167" width="6.42578125" style="54" bestFit="1" customWidth="1"/>
    <col min="7168" max="7168" width="12.28515625" style="54" customWidth="1"/>
    <col min="7169" max="7170" width="9.140625" style="54"/>
    <col min="7171" max="7171" width="5" style="54" bestFit="1" customWidth="1"/>
    <col min="7172" max="7172" width="9.140625" style="54"/>
    <col min="7173" max="7173" width="22" style="54" customWidth="1"/>
    <col min="7174" max="7174" width="12.85546875" style="54" bestFit="1" customWidth="1"/>
    <col min="7175" max="7177" width="12.85546875" style="54" customWidth="1"/>
    <col min="7178" max="7178" width="11.28515625" style="54" bestFit="1" customWidth="1"/>
    <col min="7179" max="7179" width="13.7109375" style="54" customWidth="1"/>
    <col min="7180" max="7180" width="13.28515625" style="54" bestFit="1" customWidth="1"/>
    <col min="7181" max="7181" width="12.140625" style="54" bestFit="1" customWidth="1"/>
    <col min="7182" max="7422" width="9.140625" style="54"/>
    <col min="7423" max="7423" width="6.42578125" style="54" bestFit="1" customWidth="1"/>
    <col min="7424" max="7424" width="12.28515625" style="54" customWidth="1"/>
    <col min="7425" max="7426" width="9.140625" style="54"/>
    <col min="7427" max="7427" width="5" style="54" bestFit="1" customWidth="1"/>
    <col min="7428" max="7428" width="9.140625" style="54"/>
    <col min="7429" max="7429" width="22" style="54" customWidth="1"/>
    <col min="7430" max="7430" width="12.85546875" style="54" bestFit="1" customWidth="1"/>
    <col min="7431" max="7433" width="12.85546875" style="54" customWidth="1"/>
    <col min="7434" max="7434" width="11.28515625" style="54" bestFit="1" customWidth="1"/>
    <col min="7435" max="7435" width="13.7109375" style="54" customWidth="1"/>
    <col min="7436" max="7436" width="13.28515625" style="54" bestFit="1" customWidth="1"/>
    <col min="7437" max="7437" width="12.140625" style="54" bestFit="1" customWidth="1"/>
    <col min="7438" max="7678" width="9.140625" style="54"/>
    <col min="7679" max="7679" width="6.42578125" style="54" bestFit="1" customWidth="1"/>
    <col min="7680" max="7680" width="12.28515625" style="54" customWidth="1"/>
    <col min="7681" max="7682" width="9.140625" style="54"/>
    <col min="7683" max="7683" width="5" style="54" bestFit="1" customWidth="1"/>
    <col min="7684" max="7684" width="9.140625" style="54"/>
    <col min="7685" max="7685" width="22" style="54" customWidth="1"/>
    <col min="7686" max="7686" width="12.85546875" style="54" bestFit="1" customWidth="1"/>
    <col min="7687" max="7689" width="12.85546875" style="54" customWidth="1"/>
    <col min="7690" max="7690" width="11.28515625" style="54" bestFit="1" customWidth="1"/>
    <col min="7691" max="7691" width="13.7109375" style="54" customWidth="1"/>
    <col min="7692" max="7692" width="13.28515625" style="54" bestFit="1" customWidth="1"/>
    <col min="7693" max="7693" width="12.140625" style="54" bestFit="1" customWidth="1"/>
    <col min="7694" max="7934" width="9.140625" style="54"/>
    <col min="7935" max="7935" width="6.42578125" style="54" bestFit="1" customWidth="1"/>
    <col min="7936" max="7936" width="12.28515625" style="54" customWidth="1"/>
    <col min="7937" max="7938" width="9.140625" style="54"/>
    <col min="7939" max="7939" width="5" style="54" bestFit="1" customWidth="1"/>
    <col min="7940" max="7940" width="9.140625" style="54"/>
    <col min="7941" max="7941" width="22" style="54" customWidth="1"/>
    <col min="7942" max="7942" width="12.85546875" style="54" bestFit="1" customWidth="1"/>
    <col min="7943" max="7945" width="12.85546875" style="54" customWidth="1"/>
    <col min="7946" max="7946" width="11.28515625" style="54" bestFit="1" customWidth="1"/>
    <col min="7947" max="7947" width="13.7109375" style="54" customWidth="1"/>
    <col min="7948" max="7948" width="13.28515625" style="54" bestFit="1" customWidth="1"/>
    <col min="7949" max="7949" width="12.140625" style="54" bestFit="1" customWidth="1"/>
    <col min="7950" max="8190" width="9.140625" style="54"/>
    <col min="8191" max="8191" width="6.42578125" style="54" bestFit="1" customWidth="1"/>
    <col min="8192" max="8192" width="12.28515625" style="54" customWidth="1"/>
    <col min="8193" max="8194" width="9.140625" style="54"/>
    <col min="8195" max="8195" width="5" style="54" bestFit="1" customWidth="1"/>
    <col min="8196" max="8196" width="9.140625" style="54"/>
    <col min="8197" max="8197" width="22" style="54" customWidth="1"/>
    <col min="8198" max="8198" width="12.85546875" style="54" bestFit="1" customWidth="1"/>
    <col min="8199" max="8201" width="12.85546875" style="54" customWidth="1"/>
    <col min="8202" max="8202" width="11.28515625" style="54" bestFit="1" customWidth="1"/>
    <col min="8203" max="8203" width="13.7109375" style="54" customWidth="1"/>
    <col min="8204" max="8204" width="13.28515625" style="54" bestFit="1" customWidth="1"/>
    <col min="8205" max="8205" width="12.140625" style="54" bestFit="1" customWidth="1"/>
    <col min="8206" max="8446" width="9.140625" style="54"/>
    <col min="8447" max="8447" width="6.42578125" style="54" bestFit="1" customWidth="1"/>
    <col min="8448" max="8448" width="12.28515625" style="54" customWidth="1"/>
    <col min="8449" max="8450" width="9.140625" style="54"/>
    <col min="8451" max="8451" width="5" style="54" bestFit="1" customWidth="1"/>
    <col min="8452" max="8452" width="9.140625" style="54"/>
    <col min="8453" max="8453" width="22" style="54" customWidth="1"/>
    <col min="8454" max="8454" width="12.85546875" style="54" bestFit="1" customWidth="1"/>
    <col min="8455" max="8457" width="12.85546875" style="54" customWidth="1"/>
    <col min="8458" max="8458" width="11.28515625" style="54" bestFit="1" customWidth="1"/>
    <col min="8459" max="8459" width="13.7109375" style="54" customWidth="1"/>
    <col min="8460" max="8460" width="13.28515625" style="54" bestFit="1" customWidth="1"/>
    <col min="8461" max="8461" width="12.140625" style="54" bestFit="1" customWidth="1"/>
    <col min="8462" max="8702" width="9.140625" style="54"/>
    <col min="8703" max="8703" width="6.42578125" style="54" bestFit="1" customWidth="1"/>
    <col min="8704" max="8704" width="12.28515625" style="54" customWidth="1"/>
    <col min="8705" max="8706" width="9.140625" style="54"/>
    <col min="8707" max="8707" width="5" style="54" bestFit="1" customWidth="1"/>
    <col min="8708" max="8708" width="9.140625" style="54"/>
    <col min="8709" max="8709" width="22" style="54" customWidth="1"/>
    <col min="8710" max="8710" width="12.85546875" style="54" bestFit="1" customWidth="1"/>
    <col min="8711" max="8713" width="12.85546875" style="54" customWidth="1"/>
    <col min="8714" max="8714" width="11.28515625" style="54" bestFit="1" customWidth="1"/>
    <col min="8715" max="8715" width="13.7109375" style="54" customWidth="1"/>
    <col min="8716" max="8716" width="13.28515625" style="54" bestFit="1" customWidth="1"/>
    <col min="8717" max="8717" width="12.140625" style="54" bestFit="1" customWidth="1"/>
    <col min="8718" max="8958" width="9.140625" style="54"/>
    <col min="8959" max="8959" width="6.42578125" style="54" bestFit="1" customWidth="1"/>
    <col min="8960" max="8960" width="12.28515625" style="54" customWidth="1"/>
    <col min="8961" max="8962" width="9.140625" style="54"/>
    <col min="8963" max="8963" width="5" style="54" bestFit="1" customWidth="1"/>
    <col min="8964" max="8964" width="9.140625" style="54"/>
    <col min="8965" max="8965" width="22" style="54" customWidth="1"/>
    <col min="8966" max="8966" width="12.85546875" style="54" bestFit="1" customWidth="1"/>
    <col min="8967" max="8969" width="12.85546875" style="54" customWidth="1"/>
    <col min="8970" max="8970" width="11.28515625" style="54" bestFit="1" customWidth="1"/>
    <col min="8971" max="8971" width="13.7109375" style="54" customWidth="1"/>
    <col min="8972" max="8972" width="13.28515625" style="54" bestFit="1" customWidth="1"/>
    <col min="8973" max="8973" width="12.140625" style="54" bestFit="1" customWidth="1"/>
    <col min="8974" max="9214" width="9.140625" style="54"/>
    <col min="9215" max="9215" width="6.42578125" style="54" bestFit="1" customWidth="1"/>
    <col min="9216" max="9216" width="12.28515625" style="54" customWidth="1"/>
    <col min="9217" max="9218" width="9.140625" style="54"/>
    <col min="9219" max="9219" width="5" style="54" bestFit="1" customWidth="1"/>
    <col min="9220" max="9220" width="9.140625" style="54"/>
    <col min="9221" max="9221" width="22" style="54" customWidth="1"/>
    <col min="9222" max="9222" width="12.85546875" style="54" bestFit="1" customWidth="1"/>
    <col min="9223" max="9225" width="12.85546875" style="54" customWidth="1"/>
    <col min="9226" max="9226" width="11.28515625" style="54" bestFit="1" customWidth="1"/>
    <col min="9227" max="9227" width="13.7109375" style="54" customWidth="1"/>
    <col min="9228" max="9228" width="13.28515625" style="54" bestFit="1" customWidth="1"/>
    <col min="9229" max="9229" width="12.140625" style="54" bestFit="1" customWidth="1"/>
    <col min="9230" max="9470" width="9.140625" style="54"/>
    <col min="9471" max="9471" width="6.42578125" style="54" bestFit="1" customWidth="1"/>
    <col min="9472" max="9472" width="12.28515625" style="54" customWidth="1"/>
    <col min="9473" max="9474" width="9.140625" style="54"/>
    <col min="9475" max="9475" width="5" style="54" bestFit="1" customWidth="1"/>
    <col min="9476" max="9476" width="9.140625" style="54"/>
    <col min="9477" max="9477" width="22" style="54" customWidth="1"/>
    <col min="9478" max="9478" width="12.85546875" style="54" bestFit="1" customWidth="1"/>
    <col min="9479" max="9481" width="12.85546875" style="54" customWidth="1"/>
    <col min="9482" max="9482" width="11.28515625" style="54" bestFit="1" customWidth="1"/>
    <col min="9483" max="9483" width="13.7109375" style="54" customWidth="1"/>
    <col min="9484" max="9484" width="13.28515625" style="54" bestFit="1" customWidth="1"/>
    <col min="9485" max="9485" width="12.140625" style="54" bestFit="1" customWidth="1"/>
    <col min="9486" max="9726" width="9.140625" style="54"/>
    <col min="9727" max="9727" width="6.42578125" style="54" bestFit="1" customWidth="1"/>
    <col min="9728" max="9728" width="12.28515625" style="54" customWidth="1"/>
    <col min="9729" max="9730" width="9.140625" style="54"/>
    <col min="9731" max="9731" width="5" style="54" bestFit="1" customWidth="1"/>
    <col min="9732" max="9732" width="9.140625" style="54"/>
    <col min="9733" max="9733" width="22" style="54" customWidth="1"/>
    <col min="9734" max="9734" width="12.85546875" style="54" bestFit="1" customWidth="1"/>
    <col min="9735" max="9737" width="12.85546875" style="54" customWidth="1"/>
    <col min="9738" max="9738" width="11.28515625" style="54" bestFit="1" customWidth="1"/>
    <col min="9739" max="9739" width="13.7109375" style="54" customWidth="1"/>
    <col min="9740" max="9740" width="13.28515625" style="54" bestFit="1" customWidth="1"/>
    <col min="9741" max="9741" width="12.140625" style="54" bestFit="1" customWidth="1"/>
    <col min="9742" max="9982" width="9.140625" style="54"/>
    <col min="9983" max="9983" width="6.42578125" style="54" bestFit="1" customWidth="1"/>
    <col min="9984" max="9984" width="12.28515625" style="54" customWidth="1"/>
    <col min="9985" max="9986" width="9.140625" style="54"/>
    <col min="9987" max="9987" width="5" style="54" bestFit="1" customWidth="1"/>
    <col min="9988" max="9988" width="9.140625" style="54"/>
    <col min="9989" max="9989" width="22" style="54" customWidth="1"/>
    <col min="9990" max="9990" width="12.85546875" style="54" bestFit="1" customWidth="1"/>
    <col min="9991" max="9993" width="12.85546875" style="54" customWidth="1"/>
    <col min="9994" max="9994" width="11.28515625" style="54" bestFit="1" customWidth="1"/>
    <col min="9995" max="9995" width="13.7109375" style="54" customWidth="1"/>
    <col min="9996" max="9996" width="13.28515625" style="54" bestFit="1" customWidth="1"/>
    <col min="9997" max="9997" width="12.140625" style="54" bestFit="1" customWidth="1"/>
    <col min="9998" max="10238" width="9.140625" style="54"/>
    <col min="10239" max="10239" width="6.42578125" style="54" bestFit="1" customWidth="1"/>
    <col min="10240" max="10240" width="12.28515625" style="54" customWidth="1"/>
    <col min="10241" max="10242" width="9.140625" style="54"/>
    <col min="10243" max="10243" width="5" style="54" bestFit="1" customWidth="1"/>
    <col min="10244" max="10244" width="9.140625" style="54"/>
    <col min="10245" max="10245" width="22" style="54" customWidth="1"/>
    <col min="10246" max="10246" width="12.85546875" style="54" bestFit="1" customWidth="1"/>
    <col min="10247" max="10249" width="12.85546875" style="54" customWidth="1"/>
    <col min="10250" max="10250" width="11.28515625" style="54" bestFit="1" customWidth="1"/>
    <col min="10251" max="10251" width="13.7109375" style="54" customWidth="1"/>
    <col min="10252" max="10252" width="13.28515625" style="54" bestFit="1" customWidth="1"/>
    <col min="10253" max="10253" width="12.140625" style="54" bestFit="1" customWidth="1"/>
    <col min="10254" max="10494" width="9.140625" style="54"/>
    <col min="10495" max="10495" width="6.42578125" style="54" bestFit="1" customWidth="1"/>
    <col min="10496" max="10496" width="12.28515625" style="54" customWidth="1"/>
    <col min="10497" max="10498" width="9.140625" style="54"/>
    <col min="10499" max="10499" width="5" style="54" bestFit="1" customWidth="1"/>
    <col min="10500" max="10500" width="9.140625" style="54"/>
    <col min="10501" max="10501" width="22" style="54" customWidth="1"/>
    <col min="10502" max="10502" width="12.85546875" style="54" bestFit="1" customWidth="1"/>
    <col min="10503" max="10505" width="12.85546875" style="54" customWidth="1"/>
    <col min="10506" max="10506" width="11.28515625" style="54" bestFit="1" customWidth="1"/>
    <col min="10507" max="10507" width="13.7109375" style="54" customWidth="1"/>
    <col min="10508" max="10508" width="13.28515625" style="54" bestFit="1" customWidth="1"/>
    <col min="10509" max="10509" width="12.140625" style="54" bestFit="1" customWidth="1"/>
    <col min="10510" max="10750" width="9.140625" style="54"/>
    <col min="10751" max="10751" width="6.42578125" style="54" bestFit="1" customWidth="1"/>
    <col min="10752" max="10752" width="12.28515625" style="54" customWidth="1"/>
    <col min="10753" max="10754" width="9.140625" style="54"/>
    <col min="10755" max="10755" width="5" style="54" bestFit="1" customWidth="1"/>
    <col min="10756" max="10756" width="9.140625" style="54"/>
    <col min="10757" max="10757" width="22" style="54" customWidth="1"/>
    <col min="10758" max="10758" width="12.85546875" style="54" bestFit="1" customWidth="1"/>
    <col min="10759" max="10761" width="12.85546875" style="54" customWidth="1"/>
    <col min="10762" max="10762" width="11.28515625" style="54" bestFit="1" customWidth="1"/>
    <col min="10763" max="10763" width="13.7109375" style="54" customWidth="1"/>
    <col min="10764" max="10764" width="13.28515625" style="54" bestFit="1" customWidth="1"/>
    <col min="10765" max="10765" width="12.140625" style="54" bestFit="1" customWidth="1"/>
    <col min="10766" max="11006" width="9.140625" style="54"/>
    <col min="11007" max="11007" width="6.42578125" style="54" bestFit="1" customWidth="1"/>
    <col min="11008" max="11008" width="12.28515625" style="54" customWidth="1"/>
    <col min="11009" max="11010" width="9.140625" style="54"/>
    <col min="11011" max="11011" width="5" style="54" bestFit="1" customWidth="1"/>
    <col min="11012" max="11012" width="9.140625" style="54"/>
    <col min="11013" max="11013" width="22" style="54" customWidth="1"/>
    <col min="11014" max="11014" width="12.85546875" style="54" bestFit="1" customWidth="1"/>
    <col min="11015" max="11017" width="12.85546875" style="54" customWidth="1"/>
    <col min="11018" max="11018" width="11.28515625" style="54" bestFit="1" customWidth="1"/>
    <col min="11019" max="11019" width="13.7109375" style="54" customWidth="1"/>
    <col min="11020" max="11020" width="13.28515625" style="54" bestFit="1" customWidth="1"/>
    <col min="11021" max="11021" width="12.140625" style="54" bestFit="1" customWidth="1"/>
    <col min="11022" max="11262" width="9.140625" style="54"/>
    <col min="11263" max="11263" width="6.42578125" style="54" bestFit="1" customWidth="1"/>
    <col min="11264" max="11264" width="12.28515625" style="54" customWidth="1"/>
    <col min="11265" max="11266" width="9.140625" style="54"/>
    <col min="11267" max="11267" width="5" style="54" bestFit="1" customWidth="1"/>
    <col min="11268" max="11268" width="9.140625" style="54"/>
    <col min="11269" max="11269" width="22" style="54" customWidth="1"/>
    <col min="11270" max="11270" width="12.85546875" style="54" bestFit="1" customWidth="1"/>
    <col min="11271" max="11273" width="12.85546875" style="54" customWidth="1"/>
    <col min="11274" max="11274" width="11.28515625" style="54" bestFit="1" customWidth="1"/>
    <col min="11275" max="11275" width="13.7109375" style="54" customWidth="1"/>
    <col min="11276" max="11276" width="13.28515625" style="54" bestFit="1" customWidth="1"/>
    <col min="11277" max="11277" width="12.140625" style="54" bestFit="1" customWidth="1"/>
    <col min="11278" max="11518" width="9.140625" style="54"/>
    <col min="11519" max="11519" width="6.42578125" style="54" bestFit="1" customWidth="1"/>
    <col min="11520" max="11520" width="12.28515625" style="54" customWidth="1"/>
    <col min="11521" max="11522" width="9.140625" style="54"/>
    <col min="11523" max="11523" width="5" style="54" bestFit="1" customWidth="1"/>
    <col min="11524" max="11524" width="9.140625" style="54"/>
    <col min="11525" max="11525" width="22" style="54" customWidth="1"/>
    <col min="11526" max="11526" width="12.85546875" style="54" bestFit="1" customWidth="1"/>
    <col min="11527" max="11529" width="12.85546875" style="54" customWidth="1"/>
    <col min="11530" max="11530" width="11.28515625" style="54" bestFit="1" customWidth="1"/>
    <col min="11531" max="11531" width="13.7109375" style="54" customWidth="1"/>
    <col min="11532" max="11532" width="13.28515625" style="54" bestFit="1" customWidth="1"/>
    <col min="11533" max="11533" width="12.140625" style="54" bestFit="1" customWidth="1"/>
    <col min="11534" max="11774" width="9.140625" style="54"/>
    <col min="11775" max="11775" width="6.42578125" style="54" bestFit="1" customWidth="1"/>
    <col min="11776" max="11776" width="12.28515625" style="54" customWidth="1"/>
    <col min="11777" max="11778" width="9.140625" style="54"/>
    <col min="11779" max="11779" width="5" style="54" bestFit="1" customWidth="1"/>
    <col min="11780" max="11780" width="9.140625" style="54"/>
    <col min="11781" max="11781" width="22" style="54" customWidth="1"/>
    <col min="11782" max="11782" width="12.85546875" style="54" bestFit="1" customWidth="1"/>
    <col min="11783" max="11785" width="12.85546875" style="54" customWidth="1"/>
    <col min="11786" max="11786" width="11.28515625" style="54" bestFit="1" customWidth="1"/>
    <col min="11787" max="11787" width="13.7109375" style="54" customWidth="1"/>
    <col min="11788" max="11788" width="13.28515625" style="54" bestFit="1" customWidth="1"/>
    <col min="11789" max="11789" width="12.140625" style="54" bestFit="1" customWidth="1"/>
    <col min="11790" max="12030" width="9.140625" style="54"/>
    <col min="12031" max="12031" width="6.42578125" style="54" bestFit="1" customWidth="1"/>
    <col min="12032" max="12032" width="12.28515625" style="54" customWidth="1"/>
    <col min="12033" max="12034" width="9.140625" style="54"/>
    <col min="12035" max="12035" width="5" style="54" bestFit="1" customWidth="1"/>
    <col min="12036" max="12036" width="9.140625" style="54"/>
    <col min="12037" max="12037" width="22" style="54" customWidth="1"/>
    <col min="12038" max="12038" width="12.85546875" style="54" bestFit="1" customWidth="1"/>
    <col min="12039" max="12041" width="12.85546875" style="54" customWidth="1"/>
    <col min="12042" max="12042" width="11.28515625" style="54" bestFit="1" customWidth="1"/>
    <col min="12043" max="12043" width="13.7109375" style="54" customWidth="1"/>
    <col min="12044" max="12044" width="13.28515625" style="54" bestFit="1" customWidth="1"/>
    <col min="12045" max="12045" width="12.140625" style="54" bestFit="1" customWidth="1"/>
    <col min="12046" max="12286" width="9.140625" style="54"/>
    <col min="12287" max="12287" width="6.42578125" style="54" bestFit="1" customWidth="1"/>
    <col min="12288" max="12288" width="12.28515625" style="54" customWidth="1"/>
    <col min="12289" max="12290" width="9.140625" style="54"/>
    <col min="12291" max="12291" width="5" style="54" bestFit="1" customWidth="1"/>
    <col min="12292" max="12292" width="9.140625" style="54"/>
    <col min="12293" max="12293" width="22" style="54" customWidth="1"/>
    <col min="12294" max="12294" width="12.85546875" style="54" bestFit="1" customWidth="1"/>
    <col min="12295" max="12297" width="12.85546875" style="54" customWidth="1"/>
    <col min="12298" max="12298" width="11.28515625" style="54" bestFit="1" customWidth="1"/>
    <col min="12299" max="12299" width="13.7109375" style="54" customWidth="1"/>
    <col min="12300" max="12300" width="13.28515625" style="54" bestFit="1" customWidth="1"/>
    <col min="12301" max="12301" width="12.140625" style="54" bestFit="1" customWidth="1"/>
    <col min="12302" max="12542" width="9.140625" style="54"/>
    <col min="12543" max="12543" width="6.42578125" style="54" bestFit="1" customWidth="1"/>
    <col min="12544" max="12544" width="12.28515625" style="54" customWidth="1"/>
    <col min="12545" max="12546" width="9.140625" style="54"/>
    <col min="12547" max="12547" width="5" style="54" bestFit="1" customWidth="1"/>
    <col min="12548" max="12548" width="9.140625" style="54"/>
    <col min="12549" max="12549" width="22" style="54" customWidth="1"/>
    <col min="12550" max="12550" width="12.85546875" style="54" bestFit="1" customWidth="1"/>
    <col min="12551" max="12553" width="12.85546875" style="54" customWidth="1"/>
    <col min="12554" max="12554" width="11.28515625" style="54" bestFit="1" customWidth="1"/>
    <col min="12555" max="12555" width="13.7109375" style="54" customWidth="1"/>
    <col min="12556" max="12556" width="13.28515625" style="54" bestFit="1" customWidth="1"/>
    <col min="12557" max="12557" width="12.140625" style="54" bestFit="1" customWidth="1"/>
    <col min="12558" max="12798" width="9.140625" style="54"/>
    <col min="12799" max="12799" width="6.42578125" style="54" bestFit="1" customWidth="1"/>
    <col min="12800" max="12800" width="12.28515625" style="54" customWidth="1"/>
    <col min="12801" max="12802" width="9.140625" style="54"/>
    <col min="12803" max="12803" width="5" style="54" bestFit="1" customWidth="1"/>
    <col min="12804" max="12804" width="9.140625" style="54"/>
    <col min="12805" max="12805" width="22" style="54" customWidth="1"/>
    <col min="12806" max="12806" width="12.85546875" style="54" bestFit="1" customWidth="1"/>
    <col min="12807" max="12809" width="12.85546875" style="54" customWidth="1"/>
    <col min="12810" max="12810" width="11.28515625" style="54" bestFit="1" customWidth="1"/>
    <col min="12811" max="12811" width="13.7109375" style="54" customWidth="1"/>
    <col min="12812" max="12812" width="13.28515625" style="54" bestFit="1" customWidth="1"/>
    <col min="12813" max="12813" width="12.140625" style="54" bestFit="1" customWidth="1"/>
    <col min="12814" max="13054" width="9.140625" style="54"/>
    <col min="13055" max="13055" width="6.42578125" style="54" bestFit="1" customWidth="1"/>
    <col min="13056" max="13056" width="12.28515625" style="54" customWidth="1"/>
    <col min="13057" max="13058" width="9.140625" style="54"/>
    <col min="13059" max="13059" width="5" style="54" bestFit="1" customWidth="1"/>
    <col min="13060" max="13060" width="9.140625" style="54"/>
    <col min="13061" max="13061" width="22" style="54" customWidth="1"/>
    <col min="13062" max="13062" width="12.85546875" style="54" bestFit="1" customWidth="1"/>
    <col min="13063" max="13065" width="12.85546875" style="54" customWidth="1"/>
    <col min="13066" max="13066" width="11.28515625" style="54" bestFit="1" customWidth="1"/>
    <col min="13067" max="13067" width="13.7109375" style="54" customWidth="1"/>
    <col min="13068" max="13068" width="13.28515625" style="54" bestFit="1" customWidth="1"/>
    <col min="13069" max="13069" width="12.140625" style="54" bestFit="1" customWidth="1"/>
    <col min="13070" max="13310" width="9.140625" style="54"/>
    <col min="13311" max="13311" width="6.42578125" style="54" bestFit="1" customWidth="1"/>
    <col min="13312" max="13312" width="12.28515625" style="54" customWidth="1"/>
    <col min="13313" max="13314" width="9.140625" style="54"/>
    <col min="13315" max="13315" width="5" style="54" bestFit="1" customWidth="1"/>
    <col min="13316" max="13316" width="9.140625" style="54"/>
    <col min="13317" max="13317" width="22" style="54" customWidth="1"/>
    <col min="13318" max="13318" width="12.85546875" style="54" bestFit="1" customWidth="1"/>
    <col min="13319" max="13321" width="12.85546875" style="54" customWidth="1"/>
    <col min="13322" max="13322" width="11.28515625" style="54" bestFit="1" customWidth="1"/>
    <col min="13323" max="13323" width="13.7109375" style="54" customWidth="1"/>
    <col min="13324" max="13324" width="13.28515625" style="54" bestFit="1" customWidth="1"/>
    <col min="13325" max="13325" width="12.140625" style="54" bestFit="1" customWidth="1"/>
    <col min="13326" max="13566" width="9.140625" style="54"/>
    <col min="13567" max="13567" width="6.42578125" style="54" bestFit="1" customWidth="1"/>
    <col min="13568" max="13568" width="12.28515625" style="54" customWidth="1"/>
    <col min="13569" max="13570" width="9.140625" style="54"/>
    <col min="13571" max="13571" width="5" style="54" bestFit="1" customWidth="1"/>
    <col min="13572" max="13572" width="9.140625" style="54"/>
    <col min="13573" max="13573" width="22" style="54" customWidth="1"/>
    <col min="13574" max="13574" width="12.85546875" style="54" bestFit="1" customWidth="1"/>
    <col min="13575" max="13577" width="12.85546875" style="54" customWidth="1"/>
    <col min="13578" max="13578" width="11.28515625" style="54" bestFit="1" customWidth="1"/>
    <col min="13579" max="13579" width="13.7109375" style="54" customWidth="1"/>
    <col min="13580" max="13580" width="13.28515625" style="54" bestFit="1" customWidth="1"/>
    <col min="13581" max="13581" width="12.140625" style="54" bestFit="1" customWidth="1"/>
    <col min="13582" max="13822" width="9.140625" style="54"/>
    <col min="13823" max="13823" width="6.42578125" style="54" bestFit="1" customWidth="1"/>
    <col min="13824" max="13824" width="12.28515625" style="54" customWidth="1"/>
    <col min="13825" max="13826" width="9.140625" style="54"/>
    <col min="13827" max="13827" width="5" style="54" bestFit="1" customWidth="1"/>
    <col min="13828" max="13828" width="9.140625" style="54"/>
    <col min="13829" max="13829" width="22" style="54" customWidth="1"/>
    <col min="13830" max="13830" width="12.85546875" style="54" bestFit="1" customWidth="1"/>
    <col min="13831" max="13833" width="12.85546875" style="54" customWidth="1"/>
    <col min="13834" max="13834" width="11.28515625" style="54" bestFit="1" customWidth="1"/>
    <col min="13835" max="13835" width="13.7109375" style="54" customWidth="1"/>
    <col min="13836" max="13836" width="13.28515625" style="54" bestFit="1" customWidth="1"/>
    <col min="13837" max="13837" width="12.140625" style="54" bestFit="1" customWidth="1"/>
    <col min="13838" max="14078" width="9.140625" style="54"/>
    <col min="14079" max="14079" width="6.42578125" style="54" bestFit="1" customWidth="1"/>
    <col min="14080" max="14080" width="12.28515625" style="54" customWidth="1"/>
    <col min="14081" max="14082" width="9.140625" style="54"/>
    <col min="14083" max="14083" width="5" style="54" bestFit="1" customWidth="1"/>
    <col min="14084" max="14084" width="9.140625" style="54"/>
    <col min="14085" max="14085" width="22" style="54" customWidth="1"/>
    <col min="14086" max="14086" width="12.85546875" style="54" bestFit="1" customWidth="1"/>
    <col min="14087" max="14089" width="12.85546875" style="54" customWidth="1"/>
    <col min="14090" max="14090" width="11.28515625" style="54" bestFit="1" customWidth="1"/>
    <col min="14091" max="14091" width="13.7109375" style="54" customWidth="1"/>
    <col min="14092" max="14092" width="13.28515625" style="54" bestFit="1" customWidth="1"/>
    <col min="14093" max="14093" width="12.140625" style="54" bestFit="1" customWidth="1"/>
    <col min="14094" max="14334" width="9.140625" style="54"/>
    <col min="14335" max="14335" width="6.42578125" style="54" bestFit="1" customWidth="1"/>
    <col min="14336" max="14336" width="12.28515625" style="54" customWidth="1"/>
    <col min="14337" max="14338" width="9.140625" style="54"/>
    <col min="14339" max="14339" width="5" style="54" bestFit="1" customWidth="1"/>
    <col min="14340" max="14340" width="9.140625" style="54"/>
    <col min="14341" max="14341" width="22" style="54" customWidth="1"/>
    <col min="14342" max="14342" width="12.85546875" style="54" bestFit="1" customWidth="1"/>
    <col min="14343" max="14345" width="12.85546875" style="54" customWidth="1"/>
    <col min="14346" max="14346" width="11.28515625" style="54" bestFit="1" customWidth="1"/>
    <col min="14347" max="14347" width="13.7109375" style="54" customWidth="1"/>
    <col min="14348" max="14348" width="13.28515625" style="54" bestFit="1" customWidth="1"/>
    <col min="14349" max="14349" width="12.140625" style="54" bestFit="1" customWidth="1"/>
    <col min="14350" max="14590" width="9.140625" style="54"/>
    <col min="14591" max="14591" width="6.42578125" style="54" bestFit="1" customWidth="1"/>
    <col min="14592" max="14592" width="12.28515625" style="54" customWidth="1"/>
    <col min="14593" max="14594" width="9.140625" style="54"/>
    <col min="14595" max="14595" width="5" style="54" bestFit="1" customWidth="1"/>
    <col min="14596" max="14596" width="9.140625" style="54"/>
    <col min="14597" max="14597" width="22" style="54" customWidth="1"/>
    <col min="14598" max="14598" width="12.85546875" style="54" bestFit="1" customWidth="1"/>
    <col min="14599" max="14601" width="12.85546875" style="54" customWidth="1"/>
    <col min="14602" max="14602" width="11.28515625" style="54" bestFit="1" customWidth="1"/>
    <col min="14603" max="14603" width="13.7109375" style="54" customWidth="1"/>
    <col min="14604" max="14604" width="13.28515625" style="54" bestFit="1" customWidth="1"/>
    <col min="14605" max="14605" width="12.140625" style="54" bestFit="1" customWidth="1"/>
    <col min="14606" max="14846" width="9.140625" style="54"/>
    <col min="14847" max="14847" width="6.42578125" style="54" bestFit="1" customWidth="1"/>
    <col min="14848" max="14848" width="12.28515625" style="54" customWidth="1"/>
    <col min="14849" max="14850" width="9.140625" style="54"/>
    <col min="14851" max="14851" width="5" style="54" bestFit="1" customWidth="1"/>
    <col min="14852" max="14852" width="9.140625" style="54"/>
    <col min="14853" max="14853" width="22" style="54" customWidth="1"/>
    <col min="14854" max="14854" width="12.85546875" style="54" bestFit="1" customWidth="1"/>
    <col min="14855" max="14857" width="12.85546875" style="54" customWidth="1"/>
    <col min="14858" max="14858" width="11.28515625" style="54" bestFit="1" customWidth="1"/>
    <col min="14859" max="14859" width="13.7109375" style="54" customWidth="1"/>
    <col min="14860" max="14860" width="13.28515625" style="54" bestFit="1" customWidth="1"/>
    <col min="14861" max="14861" width="12.140625" style="54" bestFit="1" customWidth="1"/>
    <col min="14862" max="15102" width="9.140625" style="54"/>
    <col min="15103" max="15103" width="6.42578125" style="54" bestFit="1" customWidth="1"/>
    <col min="15104" max="15104" width="12.28515625" style="54" customWidth="1"/>
    <col min="15105" max="15106" width="9.140625" style="54"/>
    <col min="15107" max="15107" width="5" style="54" bestFit="1" customWidth="1"/>
    <col min="15108" max="15108" width="9.140625" style="54"/>
    <col min="15109" max="15109" width="22" style="54" customWidth="1"/>
    <col min="15110" max="15110" width="12.85546875" style="54" bestFit="1" customWidth="1"/>
    <col min="15111" max="15113" width="12.85546875" style="54" customWidth="1"/>
    <col min="15114" max="15114" width="11.28515625" style="54" bestFit="1" customWidth="1"/>
    <col min="15115" max="15115" width="13.7109375" style="54" customWidth="1"/>
    <col min="15116" max="15116" width="13.28515625" style="54" bestFit="1" customWidth="1"/>
    <col min="15117" max="15117" width="12.140625" style="54" bestFit="1" customWidth="1"/>
    <col min="15118" max="15358" width="9.140625" style="54"/>
    <col min="15359" max="15359" width="6.42578125" style="54" bestFit="1" customWidth="1"/>
    <col min="15360" max="15360" width="12.28515625" style="54" customWidth="1"/>
    <col min="15361" max="15362" width="9.140625" style="54"/>
    <col min="15363" max="15363" width="5" style="54" bestFit="1" customWidth="1"/>
    <col min="15364" max="15364" width="9.140625" style="54"/>
    <col min="15365" max="15365" width="22" style="54" customWidth="1"/>
    <col min="15366" max="15366" width="12.85546875" style="54" bestFit="1" customWidth="1"/>
    <col min="15367" max="15369" width="12.85546875" style="54" customWidth="1"/>
    <col min="15370" max="15370" width="11.28515625" style="54" bestFit="1" customWidth="1"/>
    <col min="15371" max="15371" width="13.7109375" style="54" customWidth="1"/>
    <col min="15372" max="15372" width="13.28515625" style="54" bestFit="1" customWidth="1"/>
    <col min="15373" max="15373" width="12.140625" style="54" bestFit="1" customWidth="1"/>
    <col min="15374" max="15614" width="9.140625" style="54"/>
    <col min="15615" max="15615" width="6.42578125" style="54" bestFit="1" customWidth="1"/>
    <col min="15616" max="15616" width="12.28515625" style="54" customWidth="1"/>
    <col min="15617" max="15618" width="9.140625" style="54"/>
    <col min="15619" max="15619" width="5" style="54" bestFit="1" customWidth="1"/>
    <col min="15620" max="15620" width="9.140625" style="54"/>
    <col min="15621" max="15621" width="22" style="54" customWidth="1"/>
    <col min="15622" max="15622" width="12.85546875" style="54" bestFit="1" customWidth="1"/>
    <col min="15623" max="15625" width="12.85546875" style="54" customWidth="1"/>
    <col min="15626" max="15626" width="11.28515625" style="54" bestFit="1" customWidth="1"/>
    <col min="15627" max="15627" width="13.7109375" style="54" customWidth="1"/>
    <col min="15628" max="15628" width="13.28515625" style="54" bestFit="1" customWidth="1"/>
    <col min="15629" max="15629" width="12.140625" style="54" bestFit="1" customWidth="1"/>
    <col min="15630" max="15870" width="9.140625" style="54"/>
    <col min="15871" max="15871" width="6.42578125" style="54" bestFit="1" customWidth="1"/>
    <col min="15872" max="15872" width="12.28515625" style="54" customWidth="1"/>
    <col min="15873" max="15874" width="9.140625" style="54"/>
    <col min="15875" max="15875" width="5" style="54" bestFit="1" customWidth="1"/>
    <col min="15876" max="15876" width="9.140625" style="54"/>
    <col min="15877" max="15877" width="22" style="54" customWidth="1"/>
    <col min="15878" max="15878" width="12.85546875" style="54" bestFit="1" customWidth="1"/>
    <col min="15879" max="15881" width="12.85546875" style="54" customWidth="1"/>
    <col min="15882" max="15882" width="11.28515625" style="54" bestFit="1" customWidth="1"/>
    <col min="15883" max="15883" width="13.7109375" style="54" customWidth="1"/>
    <col min="15884" max="15884" width="13.28515625" style="54" bestFit="1" customWidth="1"/>
    <col min="15885" max="15885" width="12.140625" style="54" bestFit="1" customWidth="1"/>
    <col min="15886" max="16126" width="9.140625" style="54"/>
    <col min="16127" max="16127" width="6.42578125" style="54" bestFit="1" customWidth="1"/>
    <col min="16128" max="16128" width="12.28515625" style="54" customWidth="1"/>
    <col min="16129" max="16130" width="9.140625" style="54"/>
    <col min="16131" max="16131" width="5" style="54" bestFit="1" customWidth="1"/>
    <col min="16132" max="16132" width="9.140625" style="54"/>
    <col min="16133" max="16133" width="22" style="54" customWidth="1"/>
    <col min="16134" max="16134" width="12.85546875" style="54" bestFit="1" customWidth="1"/>
    <col min="16135" max="16137" width="12.85546875" style="54" customWidth="1"/>
    <col min="16138" max="16138" width="11.28515625" style="54" bestFit="1" customWidth="1"/>
    <col min="16139" max="16139" width="13.7109375" style="54" customWidth="1"/>
    <col min="16140" max="16140" width="13.28515625" style="54" bestFit="1" customWidth="1"/>
    <col min="16141" max="16141" width="12.140625" style="54" bestFit="1" customWidth="1"/>
    <col min="16142" max="16384" width="9.140625" style="54"/>
  </cols>
  <sheetData>
    <row r="1" spans="1:15" x14ac:dyDescent="0.2">
      <c r="C1" s="55" t="s">
        <v>42</v>
      </c>
      <c r="D1" s="56"/>
      <c r="E1" s="57">
        <v>1250</v>
      </c>
      <c r="F1" s="58" t="s">
        <v>43</v>
      </c>
      <c r="G1" s="58"/>
      <c r="H1" s="206" t="s">
        <v>152</v>
      </c>
      <c r="I1" s="206"/>
      <c r="J1" s="206"/>
      <c r="K1" s="206"/>
      <c r="L1" s="206"/>
      <c r="M1" s="59" t="s">
        <v>44</v>
      </c>
      <c r="N1" s="60">
        <v>1.02</v>
      </c>
    </row>
    <row r="2" spans="1:15" x14ac:dyDescent="0.2">
      <c r="C2" s="55" t="s">
        <v>45</v>
      </c>
      <c r="E2" s="57">
        <v>522</v>
      </c>
      <c r="F2" s="61" t="s">
        <v>46</v>
      </c>
      <c r="G2" s="61"/>
      <c r="H2" s="207"/>
      <c r="I2" s="207"/>
      <c r="J2" s="207"/>
      <c r="K2" s="207"/>
      <c r="L2" s="207"/>
      <c r="M2" s="59"/>
      <c r="N2" s="59"/>
    </row>
    <row r="3" spans="1:15" ht="26.45" x14ac:dyDescent="0.25">
      <c r="A3" s="62" t="s">
        <v>47</v>
      </c>
      <c r="B3" s="215" t="s">
        <v>48</v>
      </c>
      <c r="C3" s="216"/>
      <c r="D3" s="216"/>
      <c r="E3" s="216"/>
      <c r="F3" s="216"/>
      <c r="G3" s="216"/>
      <c r="H3" s="62" t="s">
        <v>145</v>
      </c>
      <c r="I3" s="62" t="s">
        <v>146</v>
      </c>
      <c r="J3" s="62" t="s">
        <v>147</v>
      </c>
      <c r="K3" s="62" t="s">
        <v>148</v>
      </c>
      <c r="L3" s="62" t="s">
        <v>149</v>
      </c>
      <c r="M3" s="62" t="s">
        <v>153</v>
      </c>
      <c r="N3" s="62" t="s">
        <v>150</v>
      </c>
    </row>
    <row r="4" spans="1:15" ht="12.75" customHeight="1" x14ac:dyDescent="0.25">
      <c r="A4" s="63">
        <v>120</v>
      </c>
      <c r="B4" s="210" t="s">
        <v>49</v>
      </c>
      <c r="C4" s="210"/>
      <c r="D4" s="210"/>
      <c r="E4" s="210"/>
      <c r="F4" s="210"/>
      <c r="G4" s="210"/>
      <c r="H4" s="64"/>
      <c r="I4" s="64"/>
      <c r="J4" s="64"/>
      <c r="K4" s="65"/>
      <c r="L4" s="64"/>
      <c r="M4" s="64"/>
      <c r="N4" s="64"/>
    </row>
    <row r="5" spans="1:15" ht="12.75" customHeight="1" x14ac:dyDescent="0.25">
      <c r="A5" s="66"/>
      <c r="B5" s="202" t="s">
        <v>244</v>
      </c>
      <c r="C5" s="202"/>
      <c r="D5" s="202"/>
      <c r="E5" s="202"/>
      <c r="F5" s="202"/>
      <c r="G5" s="203"/>
      <c r="H5" s="67">
        <v>85000</v>
      </c>
      <c r="I5" s="67">
        <v>117000</v>
      </c>
      <c r="J5" s="67">
        <v>119700</v>
      </c>
      <c r="K5" s="67">
        <f>SUM(J5*1.03)</f>
        <v>123291</v>
      </c>
      <c r="L5" s="67">
        <f t="shared" ref="L5:N5" si="0">SUM(K5*1.03)</f>
        <v>126989.73000000001</v>
      </c>
      <c r="M5" s="67">
        <f t="shared" si="0"/>
        <v>130799.42190000002</v>
      </c>
      <c r="N5" s="67">
        <f t="shared" si="0"/>
        <v>134723.40455700003</v>
      </c>
      <c r="O5" s="54" t="s">
        <v>278</v>
      </c>
    </row>
    <row r="6" spans="1:15" ht="27.75" customHeight="1" x14ac:dyDescent="0.25">
      <c r="A6" s="66" t="s">
        <v>50</v>
      </c>
      <c r="B6" s="202" t="s">
        <v>51</v>
      </c>
      <c r="C6" s="202" t="s">
        <v>52</v>
      </c>
      <c r="D6" s="202"/>
      <c r="E6" s="202"/>
      <c r="F6" s="202"/>
      <c r="G6" s="202"/>
      <c r="H6" s="67">
        <f>SUM('7-Day PP (40 Hour WW)'!Z15)</f>
        <v>1243526.7808000001</v>
      </c>
      <c r="I6" s="67">
        <f>SUM('28-Day PP (7k)'!AB15)</f>
        <v>1506564.44</v>
      </c>
      <c r="J6" s="67">
        <f>SUM('28-Day PP (7k)'!AD15)</f>
        <v>1695139.68</v>
      </c>
      <c r="K6" s="68">
        <f>SUM('28-Day PP (7k)'!AF15)</f>
        <v>1852912.6399999999</v>
      </c>
      <c r="L6" s="69">
        <f>SUM('28-Day PP (7k)'!AH15)</f>
        <v>1985161.44</v>
      </c>
      <c r="M6" s="69">
        <f>SUM('28-Day PP (7k)'!AJ15)</f>
        <v>2092476.48</v>
      </c>
      <c r="N6" s="69">
        <f>SUM('28-Day PP (7k)'!AL15)</f>
        <v>2180986.08</v>
      </c>
    </row>
    <row r="7" spans="1:15" ht="12.75" customHeight="1" x14ac:dyDescent="0.25">
      <c r="A7" s="70"/>
      <c r="B7" s="204" t="s">
        <v>53</v>
      </c>
      <c r="C7" s="204"/>
      <c r="D7" s="204"/>
      <c r="E7" s="204"/>
      <c r="F7" s="204"/>
      <c r="G7" s="204"/>
      <c r="H7" s="71">
        <f>SUM(H5:H6)</f>
        <v>1328526.7808000001</v>
      </c>
      <c r="I7" s="71">
        <f>SUM(I5:I6)</f>
        <v>1623564.44</v>
      </c>
      <c r="J7" s="71">
        <f t="shared" ref="J7:N7" si="1">SUM(J5:J6)</f>
        <v>1814839.68</v>
      </c>
      <c r="K7" s="71">
        <f t="shared" si="1"/>
        <v>1976203.64</v>
      </c>
      <c r="L7" s="71">
        <f t="shared" si="1"/>
        <v>2112151.17</v>
      </c>
      <c r="M7" s="71">
        <f t="shared" si="1"/>
        <v>2223275.9018999999</v>
      </c>
      <c r="N7" s="71">
        <f t="shared" si="1"/>
        <v>2315709.484557</v>
      </c>
    </row>
    <row r="8" spans="1:15" ht="12.75" customHeight="1" x14ac:dyDescent="0.25">
      <c r="A8" s="63">
        <v>121</v>
      </c>
      <c r="B8" s="210" t="s">
        <v>54</v>
      </c>
      <c r="C8" s="210"/>
      <c r="D8" s="210"/>
      <c r="E8" s="210"/>
      <c r="F8" s="210"/>
      <c r="G8" s="210"/>
      <c r="H8" s="73"/>
      <c r="I8" s="73"/>
      <c r="J8" s="73"/>
      <c r="K8" s="68"/>
      <c r="L8" s="73"/>
      <c r="M8" s="73"/>
      <c r="N8" s="73"/>
      <c r="O8" s="54" t="s">
        <v>264</v>
      </c>
    </row>
    <row r="9" spans="1:15" ht="12.75" customHeight="1" x14ac:dyDescent="0.25">
      <c r="A9" s="66" t="s">
        <v>55</v>
      </c>
      <c r="B9" s="202" t="s">
        <v>36</v>
      </c>
      <c r="C9" s="202"/>
      <c r="D9" s="202"/>
      <c r="E9" s="202"/>
      <c r="F9" s="202"/>
      <c r="G9" s="202"/>
      <c r="H9" s="67"/>
      <c r="I9" s="67">
        <f>SUM('28-Day PP (7k)'!AB20)</f>
        <v>104000</v>
      </c>
      <c r="J9" s="75">
        <f>SUM('28-Day PP (7k)'!AD20)</f>
        <v>108160</v>
      </c>
      <c r="K9" s="76">
        <f>SUM('28-Day PP (7k)'!AF20)</f>
        <v>112486.39999999999</v>
      </c>
      <c r="L9" s="75">
        <f>SUM('28-Day PP (7k)'!AH20)</f>
        <v>116985.856</v>
      </c>
      <c r="M9" s="75">
        <f>SUM('28-Day PP (7k)'!AJ20)</f>
        <v>121665.29024</v>
      </c>
      <c r="N9" s="75">
        <f>SUM('28-Day PP (7k)'!AL20)</f>
        <v>126531.90184960001</v>
      </c>
    </row>
    <row r="10" spans="1:15" ht="12.75" customHeight="1" x14ac:dyDescent="0.25">
      <c r="A10" s="66" t="s">
        <v>50</v>
      </c>
      <c r="B10" s="202" t="s">
        <v>138</v>
      </c>
      <c r="C10" s="202"/>
      <c r="D10" s="202"/>
      <c r="E10" s="202"/>
      <c r="F10" s="202"/>
      <c r="G10" s="202"/>
      <c r="H10" s="67"/>
      <c r="I10" s="67">
        <f>SUM('28-Day PP (7k)'!AB19)</f>
        <v>78000</v>
      </c>
      <c r="J10" s="67">
        <f>SUM('28-Day PP (7k)'!AD19)</f>
        <v>81120</v>
      </c>
      <c r="K10" s="68">
        <f>SUM('28-Day PP (7k)'!AF19)</f>
        <v>84364.800000000003</v>
      </c>
      <c r="L10" s="67">
        <f>SUM('28-Day PP (7k)'!AH19)</f>
        <v>87739.392000000007</v>
      </c>
      <c r="M10" s="67">
        <f>SUM('28-Day PP (7k)'!AJ19)</f>
        <v>91248.967680000002</v>
      </c>
      <c r="N10" s="67">
        <f>SUM('28-Day PP (7k)'!AL19)</f>
        <v>94898.926387200001</v>
      </c>
    </row>
    <row r="11" spans="1:15" ht="13.15" x14ac:dyDescent="0.25">
      <c r="A11" s="66" t="s">
        <v>56</v>
      </c>
      <c r="B11" s="202" t="s">
        <v>57</v>
      </c>
      <c r="C11" s="202"/>
      <c r="D11" s="202"/>
      <c r="E11" s="202"/>
      <c r="F11" s="202"/>
      <c r="G11" s="202"/>
      <c r="H11" s="67">
        <v>371000</v>
      </c>
      <c r="I11" s="75">
        <v>371000</v>
      </c>
      <c r="J11" s="75">
        <v>371000</v>
      </c>
      <c r="K11" s="75">
        <v>371000</v>
      </c>
      <c r="L11" s="75">
        <v>371000</v>
      </c>
      <c r="M11" s="75">
        <v>371000</v>
      </c>
      <c r="N11" s="75">
        <v>371000</v>
      </c>
      <c r="O11" s="54" t="s">
        <v>276</v>
      </c>
    </row>
    <row r="12" spans="1:15" ht="12.75" customHeight="1" x14ac:dyDescent="0.25">
      <c r="A12" s="70"/>
      <c r="B12" s="204" t="s">
        <v>58</v>
      </c>
      <c r="C12" s="204"/>
      <c r="D12" s="204"/>
      <c r="E12" s="204"/>
      <c r="F12" s="204"/>
      <c r="G12" s="204"/>
      <c r="H12" s="71">
        <f>SUM(H9:H11)</f>
        <v>371000</v>
      </c>
      <c r="I12" s="71">
        <f>SUM(I9:I11)</f>
        <v>553000</v>
      </c>
      <c r="J12" s="71">
        <f t="shared" ref="J12:K12" si="2">SUM(J9:J11)</f>
        <v>560280</v>
      </c>
      <c r="K12" s="71">
        <f t="shared" si="2"/>
        <v>567851.19999999995</v>
      </c>
      <c r="L12" s="71">
        <f>SUM(L9:L11)</f>
        <v>575725.24800000002</v>
      </c>
      <c r="M12" s="71">
        <f>SUM(M9:M11)</f>
        <v>583914.25792</v>
      </c>
      <c r="N12" s="71">
        <f>SUM(N9:N11)</f>
        <v>592430.82823680004</v>
      </c>
    </row>
    <row r="13" spans="1:15" ht="14.25" customHeight="1" x14ac:dyDescent="0.25">
      <c r="A13" s="77">
        <v>140</v>
      </c>
      <c r="B13" s="210" t="s">
        <v>59</v>
      </c>
      <c r="C13" s="210"/>
      <c r="D13" s="210"/>
      <c r="E13" s="210"/>
      <c r="F13" s="210"/>
      <c r="G13" s="210"/>
      <c r="H13" s="73">
        <v>200000</v>
      </c>
      <c r="I13" s="73">
        <f>H13*116%</f>
        <v>231999.99999999997</v>
      </c>
      <c r="J13" s="73">
        <f>I13*115%</f>
        <v>266799.99999999994</v>
      </c>
      <c r="K13" s="78">
        <f>J13*109%</f>
        <v>290811.99999999994</v>
      </c>
      <c r="L13" s="69">
        <f>K13*105%</f>
        <v>305352.59999999998</v>
      </c>
      <c r="M13" s="69">
        <f>L13*105%</f>
        <v>320620.23</v>
      </c>
      <c r="N13" s="69">
        <f>M13*105%</f>
        <v>336651.2415</v>
      </c>
      <c r="O13" s="54" t="s">
        <v>261</v>
      </c>
    </row>
    <row r="14" spans="1:15" ht="14.25" customHeight="1" x14ac:dyDescent="0.25">
      <c r="A14" s="79">
        <v>210</v>
      </c>
      <c r="B14" s="208" t="s">
        <v>60</v>
      </c>
      <c r="C14" s="208"/>
      <c r="D14" s="208"/>
      <c r="E14" s="208"/>
      <c r="F14" s="208"/>
      <c r="G14" s="208"/>
      <c r="H14" s="80">
        <f t="shared" ref="H14" si="3">(H13+H12+H7)*0.0765</f>
        <v>145313.79873119999</v>
      </c>
      <c r="I14" s="80">
        <f t="shared" ref="I14:N14" si="4">(I13+I12+I7)*0.0765</f>
        <v>184255.17965999999</v>
      </c>
      <c r="J14" s="80">
        <f t="shared" si="4"/>
        <v>202106.85551999998</v>
      </c>
      <c r="K14" s="80">
        <f t="shared" si="4"/>
        <v>216867.31326</v>
      </c>
      <c r="L14" s="80">
        <f t="shared" si="4"/>
        <v>228982.01987700001</v>
      </c>
      <c r="M14" s="80">
        <f t="shared" si="4"/>
        <v>239277.49482123001</v>
      </c>
      <c r="N14" s="80">
        <f t="shared" si="4"/>
        <v>248226.55390347569</v>
      </c>
    </row>
    <row r="15" spans="1:15" ht="14.25" customHeight="1" x14ac:dyDescent="0.25">
      <c r="A15" s="77">
        <v>220</v>
      </c>
      <c r="B15" s="210" t="s">
        <v>247</v>
      </c>
      <c r="C15" s="210"/>
      <c r="D15" s="210"/>
      <c r="E15" s="210"/>
      <c r="F15" s="210"/>
      <c r="G15" s="210"/>
      <c r="H15" s="73"/>
      <c r="I15" s="73"/>
      <c r="J15" s="73"/>
      <c r="K15" s="73"/>
      <c r="L15" s="73"/>
      <c r="M15" s="73"/>
      <c r="N15" s="73"/>
      <c r="O15" s="54" t="s">
        <v>290</v>
      </c>
    </row>
    <row r="16" spans="1:15" ht="13.5" customHeight="1" x14ac:dyDescent="0.25">
      <c r="A16" s="77">
        <v>230</v>
      </c>
      <c r="B16" s="210" t="s">
        <v>61</v>
      </c>
      <c r="C16" s="210"/>
      <c r="D16" s="210"/>
      <c r="E16" s="210"/>
      <c r="F16" s="210"/>
      <c r="G16" s="210"/>
      <c r="H16" s="81"/>
      <c r="I16" s="81"/>
      <c r="J16" s="81"/>
      <c r="K16" s="81"/>
      <c r="L16" s="81"/>
      <c r="M16" s="81"/>
      <c r="N16" s="81"/>
    </row>
    <row r="17" spans="1:15" ht="13.5" customHeight="1" x14ac:dyDescent="0.25">
      <c r="A17" s="63"/>
      <c r="B17" s="202" t="s">
        <v>62</v>
      </c>
      <c r="C17" s="202"/>
      <c r="D17" s="202"/>
      <c r="E17" s="202"/>
      <c r="F17" s="202"/>
      <c r="G17" s="202"/>
      <c r="H17" s="67">
        <v>138000</v>
      </c>
      <c r="I17" s="75">
        <v>193200</v>
      </c>
      <c r="J17" s="75">
        <v>223200</v>
      </c>
      <c r="K17" s="75">
        <v>237600</v>
      </c>
      <c r="L17" s="75">
        <v>244800</v>
      </c>
      <c r="M17" s="75">
        <v>255000</v>
      </c>
      <c r="N17" s="75">
        <v>255000</v>
      </c>
      <c r="O17" s="54" t="s">
        <v>262</v>
      </c>
    </row>
    <row r="18" spans="1:15" ht="13.5" customHeight="1" x14ac:dyDescent="0.25">
      <c r="A18" s="63"/>
      <c r="B18" s="202" t="s">
        <v>63</v>
      </c>
      <c r="C18" s="202"/>
      <c r="D18" s="202"/>
      <c r="E18" s="202"/>
      <c r="F18" s="202"/>
      <c r="G18" s="202"/>
      <c r="H18" s="67">
        <v>5000</v>
      </c>
      <c r="I18" s="67">
        <f>H18/13*15</f>
        <v>5769.2307692307695</v>
      </c>
      <c r="J18" s="67">
        <f>I18/15*17</f>
        <v>6538.461538461539</v>
      </c>
      <c r="K18" s="67">
        <f>J18/17*18</f>
        <v>6923.0769230769238</v>
      </c>
      <c r="L18" s="67">
        <f>K18*N1</f>
        <v>7061.5384615384628</v>
      </c>
      <c r="M18" s="67">
        <f>L18*N1</f>
        <v>7202.7692307692323</v>
      </c>
      <c r="N18" s="67">
        <f>M18*N1</f>
        <v>7346.8246153846167</v>
      </c>
      <c r="O18" s="54" t="s">
        <v>260</v>
      </c>
    </row>
    <row r="19" spans="1:15" ht="12.75" customHeight="1" x14ac:dyDescent="0.25">
      <c r="A19" s="70"/>
      <c r="B19" s="204" t="s">
        <v>64</v>
      </c>
      <c r="C19" s="204"/>
      <c r="D19" s="204"/>
      <c r="E19" s="204"/>
      <c r="F19" s="204"/>
      <c r="G19" s="204"/>
      <c r="H19" s="71">
        <f t="shared" ref="H19" si="5">SUM(H16:H18)</f>
        <v>143000</v>
      </c>
      <c r="I19" s="71">
        <f t="shared" ref="I19:N19" si="6">SUM(I16:I18)</f>
        <v>198969.23076923078</v>
      </c>
      <c r="J19" s="71">
        <f t="shared" si="6"/>
        <v>229738.46153846153</v>
      </c>
      <c r="K19" s="82">
        <f t="shared" si="6"/>
        <v>244523.07692307694</v>
      </c>
      <c r="L19" s="82">
        <f t="shared" si="6"/>
        <v>251861.53846153847</v>
      </c>
      <c r="M19" s="82">
        <f t="shared" si="6"/>
        <v>262202.76923076925</v>
      </c>
      <c r="N19" s="82">
        <f t="shared" si="6"/>
        <v>262346.82461538463</v>
      </c>
    </row>
    <row r="20" spans="1:15" ht="14.25" customHeight="1" x14ac:dyDescent="0.25">
      <c r="A20" s="79">
        <v>240</v>
      </c>
      <c r="B20" s="208" t="s">
        <v>65</v>
      </c>
      <c r="C20" s="208"/>
      <c r="D20" s="208"/>
      <c r="E20" s="208"/>
      <c r="F20" s="208"/>
      <c r="G20" s="208"/>
      <c r="H20" s="83">
        <v>68776</v>
      </c>
      <c r="I20" s="83">
        <f t="shared" ref="I20:N20" si="7">((I13+I12+I7)/100)*3.73</f>
        <v>89839.453611999998</v>
      </c>
      <c r="J20" s="83">
        <f t="shared" si="7"/>
        <v>98543.604063999985</v>
      </c>
      <c r="K20" s="83">
        <f t="shared" si="7"/>
        <v>105740.533132</v>
      </c>
      <c r="L20" s="83">
        <f t="shared" si="7"/>
        <v>111647.4423714</v>
      </c>
      <c r="M20" s="83">
        <f t="shared" si="7"/>
        <v>116667.32754028602</v>
      </c>
      <c r="N20" s="83">
        <f t="shared" si="7"/>
        <v>121030.72497515874</v>
      </c>
      <c r="O20" s="54" t="s">
        <v>265</v>
      </c>
    </row>
    <row r="21" spans="1:15" ht="15.75" customHeight="1" x14ac:dyDescent="0.25">
      <c r="A21" s="84">
        <v>250</v>
      </c>
      <c r="B21" s="214" t="s">
        <v>66</v>
      </c>
      <c r="C21" s="214"/>
      <c r="D21" s="214"/>
      <c r="E21" s="214"/>
      <c r="F21" s="214"/>
      <c r="G21" s="214"/>
      <c r="H21" s="83">
        <v>3135</v>
      </c>
      <c r="I21" s="83">
        <f>(7000*15)*2.7%</f>
        <v>2835.0000000000005</v>
      </c>
      <c r="J21" s="83">
        <f>(7000*17)*2.7%</f>
        <v>3213.0000000000005</v>
      </c>
      <c r="K21" s="83">
        <f>(7000*18)*2.7%</f>
        <v>3402.0000000000005</v>
      </c>
      <c r="L21" s="83">
        <f>(7000*18)*2.7%</f>
        <v>3402.0000000000005</v>
      </c>
      <c r="M21" s="83">
        <f>(7000*18)*2.7%</f>
        <v>3402.0000000000005</v>
      </c>
      <c r="N21" s="83">
        <f>(7000*18)*2.7%</f>
        <v>3402.0000000000005</v>
      </c>
      <c r="O21" s="54" t="s">
        <v>266</v>
      </c>
    </row>
    <row r="22" spans="1:15" ht="12.75" customHeight="1" x14ac:dyDescent="0.25">
      <c r="A22" s="63">
        <v>312</v>
      </c>
      <c r="B22" s="213" t="s">
        <v>67</v>
      </c>
      <c r="C22" s="213"/>
      <c r="D22" s="213"/>
      <c r="E22" s="213"/>
      <c r="F22" s="213"/>
      <c r="G22" s="213"/>
      <c r="H22" s="85"/>
      <c r="I22" s="85"/>
      <c r="J22" s="85"/>
      <c r="K22" s="86"/>
      <c r="L22" s="85"/>
      <c r="M22" s="85"/>
      <c r="N22" s="85"/>
      <c r="O22" s="54" t="s">
        <v>267</v>
      </c>
    </row>
    <row r="23" spans="1:15" ht="12.75" customHeight="1" x14ac:dyDescent="0.25">
      <c r="A23" s="87"/>
      <c r="B23" s="202" t="s">
        <v>68</v>
      </c>
      <c r="C23" s="202"/>
      <c r="D23" s="202"/>
      <c r="E23" s="202"/>
      <c r="F23" s="202"/>
      <c r="G23" s="202"/>
      <c r="H23" s="67">
        <v>5000</v>
      </c>
      <c r="I23" s="67">
        <f t="shared" ref="I23:N25" si="8">H23*$N$1</f>
        <v>5100</v>
      </c>
      <c r="J23" s="67">
        <f t="shared" si="8"/>
        <v>5202</v>
      </c>
      <c r="K23" s="67">
        <f t="shared" si="8"/>
        <v>5306.04</v>
      </c>
      <c r="L23" s="67">
        <f t="shared" si="8"/>
        <v>5412.1607999999997</v>
      </c>
      <c r="M23" s="67">
        <f t="shared" si="8"/>
        <v>5520.4040159999995</v>
      </c>
      <c r="N23" s="67">
        <f t="shared" si="8"/>
        <v>5630.8120963199999</v>
      </c>
    </row>
    <row r="24" spans="1:15" ht="12.75" customHeight="1" x14ac:dyDescent="0.25">
      <c r="A24" s="87"/>
      <c r="B24" s="202" t="s">
        <v>69</v>
      </c>
      <c r="C24" s="202"/>
      <c r="D24" s="202"/>
      <c r="E24" s="202"/>
      <c r="F24" s="202"/>
      <c r="G24" s="202"/>
      <c r="H24" s="67">
        <v>40720</v>
      </c>
      <c r="I24" s="67">
        <f t="shared" si="8"/>
        <v>41534.400000000001</v>
      </c>
      <c r="J24" s="67">
        <f t="shared" si="8"/>
        <v>42365.088000000003</v>
      </c>
      <c r="K24" s="67">
        <f t="shared" si="8"/>
        <v>43212.389760000005</v>
      </c>
      <c r="L24" s="67">
        <f t="shared" si="8"/>
        <v>44076.63755520001</v>
      </c>
      <c r="M24" s="67">
        <f t="shared" si="8"/>
        <v>44958.170306304011</v>
      </c>
      <c r="N24" s="67">
        <f t="shared" si="8"/>
        <v>45857.333712430089</v>
      </c>
    </row>
    <row r="25" spans="1:15" ht="12.75" customHeight="1" x14ac:dyDescent="0.25">
      <c r="A25" s="88"/>
      <c r="B25" s="202" t="s">
        <v>70</v>
      </c>
      <c r="C25" s="202"/>
      <c r="D25" s="202"/>
      <c r="E25" s="202"/>
      <c r="F25" s="202"/>
      <c r="G25" s="202"/>
      <c r="H25" s="67">
        <v>2295</v>
      </c>
      <c r="I25" s="67">
        <f t="shared" si="8"/>
        <v>2340.9</v>
      </c>
      <c r="J25" s="67">
        <f t="shared" si="8"/>
        <v>2387.7180000000003</v>
      </c>
      <c r="K25" s="67">
        <f t="shared" si="8"/>
        <v>2435.4723600000002</v>
      </c>
      <c r="L25" s="67">
        <f t="shared" si="8"/>
        <v>2484.1818072000001</v>
      </c>
      <c r="M25" s="67">
        <f t="shared" si="8"/>
        <v>2533.8654433440001</v>
      </c>
      <c r="N25" s="67">
        <f t="shared" si="8"/>
        <v>2584.5427522108803</v>
      </c>
    </row>
    <row r="26" spans="1:15" ht="12.75" customHeight="1" x14ac:dyDescent="0.25">
      <c r="A26" s="70"/>
      <c r="B26" s="204" t="s">
        <v>71</v>
      </c>
      <c r="C26" s="204"/>
      <c r="D26" s="204"/>
      <c r="E26" s="204"/>
      <c r="F26" s="204"/>
      <c r="G26" s="204"/>
      <c r="H26" s="71">
        <f t="shared" ref="H26" si="9">SUM(H23:H25)</f>
        <v>48015</v>
      </c>
      <c r="I26" s="71">
        <f t="shared" ref="I26:N26" si="10">SUM(I23:I25)</f>
        <v>48975.3</v>
      </c>
      <c r="J26" s="71">
        <f t="shared" si="10"/>
        <v>49954.806000000004</v>
      </c>
      <c r="K26" s="71">
        <f t="shared" si="10"/>
        <v>50953.902120000006</v>
      </c>
      <c r="L26" s="71">
        <f t="shared" si="10"/>
        <v>51972.98016240001</v>
      </c>
      <c r="M26" s="71">
        <f t="shared" si="10"/>
        <v>53012.439765648014</v>
      </c>
      <c r="N26" s="71">
        <f t="shared" si="10"/>
        <v>54072.688560960967</v>
      </c>
    </row>
    <row r="27" spans="1:15" ht="14.25" customHeight="1" x14ac:dyDescent="0.25">
      <c r="A27" s="79">
        <v>314</v>
      </c>
      <c r="B27" s="208" t="s">
        <v>72</v>
      </c>
      <c r="C27" s="208"/>
      <c r="D27" s="208"/>
      <c r="E27" s="208"/>
      <c r="F27" s="208"/>
      <c r="G27" s="208"/>
      <c r="H27" s="89">
        <v>15000</v>
      </c>
      <c r="I27" s="89">
        <v>15000</v>
      </c>
      <c r="J27" s="89">
        <v>15000</v>
      </c>
      <c r="K27" s="89">
        <v>15000</v>
      </c>
      <c r="L27" s="89">
        <v>15000</v>
      </c>
      <c r="M27" s="89">
        <v>15000</v>
      </c>
      <c r="N27" s="89">
        <v>15000</v>
      </c>
      <c r="O27" s="54" t="s">
        <v>263</v>
      </c>
    </row>
    <row r="28" spans="1:15" ht="14.25" customHeight="1" x14ac:dyDescent="0.25">
      <c r="A28" s="79">
        <v>320</v>
      </c>
      <c r="B28" s="208" t="s">
        <v>73</v>
      </c>
      <c r="C28" s="208"/>
      <c r="D28" s="208"/>
      <c r="E28" s="208"/>
      <c r="F28" s="208"/>
      <c r="G28" s="208"/>
      <c r="H28" s="80">
        <v>23422</v>
      </c>
      <c r="I28" s="80">
        <f t="shared" ref="I28:N32" si="11">H28*$N$1</f>
        <v>23890.44</v>
      </c>
      <c r="J28" s="80">
        <f t="shared" si="11"/>
        <v>24368.248799999998</v>
      </c>
      <c r="K28" s="80">
        <f t="shared" si="11"/>
        <v>24855.613775999998</v>
      </c>
      <c r="L28" s="80">
        <f t="shared" si="11"/>
        <v>25352.72605152</v>
      </c>
      <c r="M28" s="80">
        <f t="shared" si="11"/>
        <v>25859.7805725504</v>
      </c>
      <c r="N28" s="80">
        <f t="shared" si="11"/>
        <v>26376.976184001407</v>
      </c>
      <c r="O28" s="54" t="s">
        <v>268</v>
      </c>
    </row>
    <row r="29" spans="1:15" ht="13.15" x14ac:dyDescent="0.25">
      <c r="A29" s="79">
        <v>400</v>
      </c>
      <c r="B29" s="208" t="s">
        <v>74</v>
      </c>
      <c r="C29" s="208"/>
      <c r="D29" s="208"/>
      <c r="E29" s="208"/>
      <c r="F29" s="208"/>
      <c r="G29" s="208"/>
      <c r="H29" s="80">
        <v>8590</v>
      </c>
      <c r="I29" s="80">
        <f t="shared" si="11"/>
        <v>8761.7999999999993</v>
      </c>
      <c r="J29" s="80">
        <f t="shared" si="11"/>
        <v>8937.0360000000001</v>
      </c>
      <c r="K29" s="80">
        <f t="shared" si="11"/>
        <v>9115.7767199999998</v>
      </c>
      <c r="L29" s="80">
        <f t="shared" si="11"/>
        <v>9298.0922544000005</v>
      </c>
      <c r="M29" s="80">
        <f t="shared" si="11"/>
        <v>9484.0540994880012</v>
      </c>
      <c r="N29" s="80">
        <f t="shared" si="11"/>
        <v>9673.7351814777612</v>
      </c>
      <c r="O29" s="54" t="s">
        <v>269</v>
      </c>
    </row>
    <row r="30" spans="1:15" ht="13.15" x14ac:dyDescent="0.25">
      <c r="A30" s="79">
        <v>410</v>
      </c>
      <c r="B30" s="209" t="s">
        <v>157</v>
      </c>
      <c r="C30" s="209"/>
      <c r="D30" s="209"/>
      <c r="E30" s="209"/>
      <c r="F30" s="209"/>
      <c r="G30" s="209"/>
      <c r="H30" s="90">
        <v>21500</v>
      </c>
      <c r="I30" s="80">
        <f t="shared" si="11"/>
        <v>21930</v>
      </c>
      <c r="J30" s="80">
        <f t="shared" si="11"/>
        <v>22368.600000000002</v>
      </c>
      <c r="K30" s="80">
        <f t="shared" si="11"/>
        <v>22815.972000000002</v>
      </c>
      <c r="L30" s="80">
        <f t="shared" si="11"/>
        <v>23272.291440000001</v>
      </c>
      <c r="M30" s="80">
        <f t="shared" si="11"/>
        <v>23737.7372688</v>
      </c>
      <c r="N30" s="80">
        <f t="shared" si="11"/>
        <v>24212.492014176001</v>
      </c>
      <c r="O30" s="54" t="s">
        <v>270</v>
      </c>
    </row>
    <row r="31" spans="1:15" ht="13.5" customHeight="1" x14ac:dyDescent="0.25">
      <c r="A31" s="79">
        <v>411</v>
      </c>
      <c r="B31" s="208" t="s">
        <v>75</v>
      </c>
      <c r="C31" s="208"/>
      <c r="D31" s="208"/>
      <c r="E31" s="208"/>
      <c r="F31" s="208"/>
      <c r="G31" s="208"/>
      <c r="H31" s="80">
        <v>900</v>
      </c>
      <c r="I31" s="80">
        <f t="shared" si="11"/>
        <v>918</v>
      </c>
      <c r="J31" s="80">
        <f t="shared" si="11"/>
        <v>936.36</v>
      </c>
      <c r="K31" s="80">
        <f t="shared" si="11"/>
        <v>955.08720000000005</v>
      </c>
      <c r="L31" s="80">
        <f t="shared" si="11"/>
        <v>974.18894400000011</v>
      </c>
      <c r="M31" s="80">
        <f t="shared" si="11"/>
        <v>993.67272288000015</v>
      </c>
      <c r="N31" s="80">
        <f t="shared" si="11"/>
        <v>1013.5461773376002</v>
      </c>
      <c r="O31" s="54" t="s">
        <v>271</v>
      </c>
    </row>
    <row r="32" spans="1:15" ht="14.25" customHeight="1" x14ac:dyDescent="0.25">
      <c r="A32" s="79">
        <v>412</v>
      </c>
      <c r="B32" s="208" t="s">
        <v>76</v>
      </c>
      <c r="C32" s="208"/>
      <c r="D32" s="208"/>
      <c r="E32" s="208"/>
      <c r="F32" s="208"/>
      <c r="G32" s="208"/>
      <c r="H32" s="80">
        <v>900</v>
      </c>
      <c r="I32" s="80">
        <f t="shared" si="11"/>
        <v>918</v>
      </c>
      <c r="J32" s="80">
        <f t="shared" si="11"/>
        <v>936.36</v>
      </c>
      <c r="K32" s="80">
        <f t="shared" si="11"/>
        <v>955.08720000000005</v>
      </c>
      <c r="L32" s="80">
        <f t="shared" si="11"/>
        <v>974.18894400000011</v>
      </c>
      <c r="M32" s="80">
        <f t="shared" si="11"/>
        <v>993.67272288000015</v>
      </c>
      <c r="N32" s="80">
        <f t="shared" si="11"/>
        <v>1013.5461773376002</v>
      </c>
      <c r="O32" s="54" t="s">
        <v>272</v>
      </c>
    </row>
    <row r="33" spans="1:15" ht="13.15" x14ac:dyDescent="0.25">
      <c r="A33" s="77">
        <v>430</v>
      </c>
      <c r="B33" s="210" t="s">
        <v>77</v>
      </c>
      <c r="C33" s="210"/>
      <c r="D33" s="210"/>
      <c r="E33" s="210"/>
      <c r="F33" s="210"/>
      <c r="G33" s="210"/>
      <c r="H33" s="73"/>
      <c r="I33" s="73"/>
      <c r="J33" s="73"/>
      <c r="K33" s="73"/>
      <c r="L33" s="73"/>
      <c r="M33" s="73"/>
      <c r="N33" s="73"/>
      <c r="O33" s="54" t="s">
        <v>273</v>
      </c>
    </row>
    <row r="34" spans="1:15" ht="12.75" customHeight="1" x14ac:dyDescent="0.25">
      <c r="A34" s="66" t="s">
        <v>55</v>
      </c>
      <c r="B34" s="202" t="s">
        <v>78</v>
      </c>
      <c r="C34" s="202"/>
      <c r="D34" s="202"/>
      <c r="E34" s="202"/>
      <c r="F34" s="202"/>
      <c r="G34" s="202"/>
      <c r="H34" s="67">
        <v>38000</v>
      </c>
      <c r="I34" s="67">
        <f t="shared" ref="I34:N38" si="12">H34*$N$1</f>
        <v>38760</v>
      </c>
      <c r="J34" s="67">
        <f t="shared" si="12"/>
        <v>39535.199999999997</v>
      </c>
      <c r="K34" s="67">
        <f t="shared" si="12"/>
        <v>40325.903999999995</v>
      </c>
      <c r="L34" s="67">
        <f t="shared" si="12"/>
        <v>41132.422079999997</v>
      </c>
      <c r="M34" s="67">
        <f t="shared" si="12"/>
        <v>41955.070521599999</v>
      </c>
      <c r="N34" s="67">
        <f t="shared" si="12"/>
        <v>42794.171932031997</v>
      </c>
    </row>
    <row r="35" spans="1:15" ht="12.75" customHeight="1" x14ac:dyDescent="0.25">
      <c r="A35" s="66" t="s">
        <v>50</v>
      </c>
      <c r="B35" s="202" t="s">
        <v>79</v>
      </c>
      <c r="C35" s="202"/>
      <c r="D35" s="202"/>
      <c r="E35" s="202"/>
      <c r="F35" s="202"/>
      <c r="G35" s="202"/>
      <c r="H35" s="67">
        <v>13400</v>
      </c>
      <c r="I35" s="67">
        <f t="shared" si="12"/>
        <v>13668</v>
      </c>
      <c r="J35" s="67">
        <f t="shared" si="12"/>
        <v>13941.36</v>
      </c>
      <c r="K35" s="67">
        <f t="shared" si="12"/>
        <v>14220.1872</v>
      </c>
      <c r="L35" s="67">
        <f t="shared" si="12"/>
        <v>14504.590944000001</v>
      </c>
      <c r="M35" s="67">
        <f t="shared" si="12"/>
        <v>14794.682762880002</v>
      </c>
      <c r="N35" s="67">
        <f t="shared" si="12"/>
        <v>15090.576418137602</v>
      </c>
    </row>
    <row r="36" spans="1:15" ht="12.75" customHeight="1" x14ac:dyDescent="0.25">
      <c r="A36" s="66" t="s">
        <v>56</v>
      </c>
      <c r="B36" s="202" t="s">
        <v>80</v>
      </c>
      <c r="C36" s="202"/>
      <c r="D36" s="202"/>
      <c r="E36" s="202"/>
      <c r="F36" s="202"/>
      <c r="G36" s="202"/>
      <c r="H36" s="67">
        <v>14025</v>
      </c>
      <c r="I36" s="67">
        <f t="shared" si="12"/>
        <v>14305.5</v>
      </c>
      <c r="J36" s="67">
        <f t="shared" si="12"/>
        <v>14591.61</v>
      </c>
      <c r="K36" s="67">
        <f t="shared" si="12"/>
        <v>14883.442200000001</v>
      </c>
      <c r="L36" s="67">
        <f t="shared" si="12"/>
        <v>15181.111044000001</v>
      </c>
      <c r="M36" s="67">
        <f t="shared" si="12"/>
        <v>15484.733264880002</v>
      </c>
      <c r="N36" s="67">
        <f t="shared" si="12"/>
        <v>15794.427930177602</v>
      </c>
    </row>
    <row r="37" spans="1:15" ht="12.75" customHeight="1" x14ac:dyDescent="0.25">
      <c r="A37" s="66" t="s">
        <v>81</v>
      </c>
      <c r="B37" s="202" t="s">
        <v>82</v>
      </c>
      <c r="C37" s="202"/>
      <c r="D37" s="202"/>
      <c r="E37" s="202"/>
      <c r="F37" s="202"/>
      <c r="G37" s="202"/>
      <c r="H37" s="67">
        <v>1000</v>
      </c>
      <c r="I37" s="67">
        <f t="shared" si="12"/>
        <v>1020</v>
      </c>
      <c r="J37" s="67">
        <f t="shared" si="12"/>
        <v>1040.4000000000001</v>
      </c>
      <c r="K37" s="67">
        <f t="shared" si="12"/>
        <v>1061.2080000000001</v>
      </c>
      <c r="L37" s="67">
        <f t="shared" si="12"/>
        <v>1082.4321600000001</v>
      </c>
      <c r="M37" s="67">
        <f t="shared" si="12"/>
        <v>1104.0808032</v>
      </c>
      <c r="N37" s="67">
        <f t="shared" si="12"/>
        <v>1126.1624192639999</v>
      </c>
    </row>
    <row r="38" spans="1:15" ht="12.75" customHeight="1" x14ac:dyDescent="0.25">
      <c r="A38" s="66" t="s">
        <v>83</v>
      </c>
      <c r="B38" s="202" t="s">
        <v>84</v>
      </c>
      <c r="C38" s="202"/>
      <c r="D38" s="202"/>
      <c r="E38" s="202"/>
      <c r="F38" s="202"/>
      <c r="G38" s="202"/>
      <c r="H38" s="91">
        <v>4700</v>
      </c>
      <c r="I38" s="67">
        <f t="shared" si="12"/>
        <v>4794</v>
      </c>
      <c r="J38" s="67">
        <f t="shared" si="12"/>
        <v>4889.88</v>
      </c>
      <c r="K38" s="67">
        <f t="shared" si="12"/>
        <v>4987.6776</v>
      </c>
      <c r="L38" s="67">
        <f t="shared" si="12"/>
        <v>5087.4311520000001</v>
      </c>
      <c r="M38" s="67">
        <f t="shared" si="12"/>
        <v>5189.1797750400001</v>
      </c>
      <c r="N38" s="67">
        <f t="shared" si="12"/>
        <v>5292.9633705408005</v>
      </c>
    </row>
    <row r="39" spans="1:15" ht="12.75" customHeight="1" x14ac:dyDescent="0.25">
      <c r="A39" s="70"/>
      <c r="B39" s="204" t="s">
        <v>85</v>
      </c>
      <c r="C39" s="204"/>
      <c r="D39" s="204"/>
      <c r="E39" s="204"/>
      <c r="F39" s="204"/>
      <c r="G39" s="204"/>
      <c r="H39" s="71">
        <f t="shared" ref="H39" si="13">SUM(H34:H38)</f>
        <v>71125</v>
      </c>
      <c r="I39" s="71">
        <f t="shared" ref="I39:N39" si="14">SUM(I34:I38)</f>
        <v>72547.5</v>
      </c>
      <c r="J39" s="71">
        <f t="shared" si="14"/>
        <v>73998.45</v>
      </c>
      <c r="K39" s="71">
        <f t="shared" si="14"/>
        <v>75478.418999999994</v>
      </c>
      <c r="L39" s="71">
        <f t="shared" si="14"/>
        <v>76987.987380000006</v>
      </c>
      <c r="M39" s="71">
        <f t="shared" si="14"/>
        <v>78527.747127600014</v>
      </c>
      <c r="N39" s="71">
        <f t="shared" si="14"/>
        <v>80098.302070152</v>
      </c>
    </row>
    <row r="40" spans="1:15" ht="12.75" customHeight="1" x14ac:dyDescent="0.25">
      <c r="A40" s="77">
        <v>440</v>
      </c>
      <c r="B40" s="210" t="s">
        <v>86</v>
      </c>
      <c r="C40" s="210"/>
      <c r="D40" s="210"/>
      <c r="E40" s="210"/>
      <c r="F40" s="210"/>
      <c r="G40" s="210"/>
      <c r="H40" s="67"/>
      <c r="I40" s="67"/>
      <c r="J40" s="67"/>
      <c r="K40" s="67"/>
      <c r="L40" s="67"/>
      <c r="M40" s="67"/>
      <c r="N40" s="67"/>
      <c r="O40" s="54" t="s">
        <v>274</v>
      </c>
    </row>
    <row r="41" spans="1:15" ht="12.75" customHeight="1" x14ac:dyDescent="0.25">
      <c r="A41" s="63"/>
      <c r="B41" s="202" t="s">
        <v>87</v>
      </c>
      <c r="C41" s="202"/>
      <c r="D41" s="202"/>
      <c r="E41" s="202"/>
      <c r="F41" s="202"/>
      <c r="G41" s="202"/>
      <c r="H41" s="67">
        <v>4500</v>
      </c>
      <c r="I41" s="67">
        <f t="shared" ref="I41:N45" si="15">H41*$N$1</f>
        <v>4590</v>
      </c>
      <c r="J41" s="67">
        <f t="shared" si="15"/>
        <v>4681.8</v>
      </c>
      <c r="K41" s="67">
        <f t="shared" si="15"/>
        <v>4775.4360000000006</v>
      </c>
      <c r="L41" s="67">
        <f t="shared" si="15"/>
        <v>4870.9447200000004</v>
      </c>
      <c r="M41" s="67">
        <f t="shared" si="15"/>
        <v>4968.3636144000002</v>
      </c>
      <c r="N41" s="67">
        <f t="shared" si="15"/>
        <v>5067.7308866880003</v>
      </c>
    </row>
    <row r="42" spans="1:15" ht="13.5" customHeight="1" x14ac:dyDescent="0.25">
      <c r="A42" s="63"/>
      <c r="B42" s="202" t="s">
        <v>88</v>
      </c>
      <c r="C42" s="202"/>
      <c r="D42" s="202"/>
      <c r="E42" s="202"/>
      <c r="F42" s="202"/>
      <c r="G42" s="202"/>
      <c r="H42" s="67">
        <v>6000</v>
      </c>
      <c r="I42" s="67">
        <f t="shared" si="15"/>
        <v>6120</v>
      </c>
      <c r="J42" s="67">
        <f t="shared" si="15"/>
        <v>6242.4000000000005</v>
      </c>
      <c r="K42" s="67">
        <f t="shared" si="15"/>
        <v>6367.2480000000005</v>
      </c>
      <c r="L42" s="67">
        <f t="shared" si="15"/>
        <v>6494.5929600000009</v>
      </c>
      <c r="M42" s="67">
        <f t="shared" si="15"/>
        <v>6624.4848192000009</v>
      </c>
      <c r="N42" s="67">
        <f t="shared" si="15"/>
        <v>6756.974515584001</v>
      </c>
    </row>
    <row r="43" spans="1:15" ht="13.5" customHeight="1" x14ac:dyDescent="0.25">
      <c r="A43" s="63"/>
      <c r="B43" s="202" t="s">
        <v>89</v>
      </c>
      <c r="C43" s="202"/>
      <c r="D43" s="202"/>
      <c r="E43" s="202"/>
      <c r="F43" s="202"/>
      <c r="G43" s="202"/>
      <c r="H43" s="67">
        <v>300</v>
      </c>
      <c r="I43" s="67">
        <f t="shared" si="15"/>
        <v>306</v>
      </c>
      <c r="J43" s="67">
        <f t="shared" si="15"/>
        <v>312.12</v>
      </c>
      <c r="K43" s="67">
        <f t="shared" si="15"/>
        <v>318.36240000000004</v>
      </c>
      <c r="L43" s="67">
        <f t="shared" si="15"/>
        <v>324.72964800000005</v>
      </c>
      <c r="M43" s="67">
        <f t="shared" si="15"/>
        <v>331.22424096000009</v>
      </c>
      <c r="N43" s="67">
        <f t="shared" si="15"/>
        <v>337.84872577920009</v>
      </c>
    </row>
    <row r="44" spans="1:15" ht="13.15" x14ac:dyDescent="0.25">
      <c r="A44" s="63"/>
      <c r="B44" s="202" t="s">
        <v>90</v>
      </c>
      <c r="C44" s="202"/>
      <c r="D44" s="202"/>
      <c r="E44" s="202"/>
      <c r="F44" s="202"/>
      <c r="G44" s="202"/>
      <c r="H44" s="67">
        <v>6120</v>
      </c>
      <c r="I44" s="67">
        <f t="shared" si="15"/>
        <v>6242.4000000000005</v>
      </c>
      <c r="J44" s="67">
        <f t="shared" si="15"/>
        <v>6367.2480000000005</v>
      </c>
      <c r="K44" s="67">
        <f t="shared" si="15"/>
        <v>6494.5929600000009</v>
      </c>
      <c r="L44" s="67">
        <f t="shared" si="15"/>
        <v>6624.4848192000009</v>
      </c>
      <c r="M44" s="67">
        <f t="shared" si="15"/>
        <v>6756.974515584001</v>
      </c>
      <c r="N44" s="67">
        <f t="shared" si="15"/>
        <v>6892.1140058956807</v>
      </c>
    </row>
    <row r="45" spans="1:15" ht="12.75" customHeight="1" x14ac:dyDescent="0.25">
      <c r="A45" s="88"/>
      <c r="B45" s="202" t="s">
        <v>91</v>
      </c>
      <c r="C45" s="202"/>
      <c r="D45" s="202"/>
      <c r="E45" s="202"/>
      <c r="F45" s="202"/>
      <c r="G45" s="202"/>
      <c r="H45" s="67">
        <v>2040</v>
      </c>
      <c r="I45" s="67">
        <f t="shared" si="15"/>
        <v>2080.8000000000002</v>
      </c>
      <c r="J45" s="67">
        <f t="shared" si="15"/>
        <v>2122.4160000000002</v>
      </c>
      <c r="K45" s="67">
        <f t="shared" si="15"/>
        <v>2164.8643200000001</v>
      </c>
      <c r="L45" s="67">
        <f t="shared" si="15"/>
        <v>2208.1616064</v>
      </c>
      <c r="M45" s="67">
        <f t="shared" si="15"/>
        <v>2252.3248385279999</v>
      </c>
      <c r="N45" s="67">
        <f t="shared" si="15"/>
        <v>2297.3713352985601</v>
      </c>
    </row>
    <row r="46" spans="1:15" ht="12.75" customHeight="1" x14ac:dyDescent="0.25">
      <c r="A46" s="70"/>
      <c r="B46" s="204" t="s">
        <v>92</v>
      </c>
      <c r="C46" s="204"/>
      <c r="D46" s="204"/>
      <c r="E46" s="204"/>
      <c r="F46" s="204"/>
      <c r="G46" s="204"/>
      <c r="H46" s="71">
        <f t="shared" ref="H46" si="16">SUM(H41:H45)</f>
        <v>18960</v>
      </c>
      <c r="I46" s="71">
        <f t="shared" ref="I46:N46" si="17">SUM(I41:I45)</f>
        <v>19339.2</v>
      </c>
      <c r="J46" s="71">
        <f t="shared" si="17"/>
        <v>19725.984000000004</v>
      </c>
      <c r="K46" s="71">
        <f t="shared" si="17"/>
        <v>20120.503680000002</v>
      </c>
      <c r="L46" s="71">
        <f t="shared" si="17"/>
        <v>20522.913753600002</v>
      </c>
      <c r="M46" s="71">
        <f t="shared" si="17"/>
        <v>20933.372028672002</v>
      </c>
      <c r="N46" s="71">
        <f t="shared" si="17"/>
        <v>21352.039469245443</v>
      </c>
    </row>
    <row r="47" spans="1:15" ht="12.75" customHeight="1" x14ac:dyDescent="0.25">
      <c r="A47" s="77">
        <v>450</v>
      </c>
      <c r="B47" s="210" t="s">
        <v>93</v>
      </c>
      <c r="C47" s="210"/>
      <c r="D47" s="210"/>
      <c r="E47" s="210"/>
      <c r="F47" s="210"/>
      <c r="G47" s="210"/>
      <c r="H47" s="73"/>
      <c r="I47" s="73"/>
      <c r="J47" s="73"/>
      <c r="K47" s="73"/>
      <c r="L47" s="73"/>
      <c r="M47" s="73"/>
      <c r="N47" s="73"/>
      <c r="O47" s="54" t="s">
        <v>275</v>
      </c>
    </row>
    <row r="48" spans="1:15" ht="24.75" customHeight="1" x14ac:dyDescent="0.2">
      <c r="A48" s="63"/>
      <c r="B48" s="202" t="s">
        <v>94</v>
      </c>
      <c r="C48" s="202"/>
      <c r="D48" s="202"/>
      <c r="E48" s="202"/>
      <c r="F48" s="202"/>
      <c r="G48" s="202"/>
      <c r="H48" s="67">
        <v>74000</v>
      </c>
      <c r="I48" s="67">
        <f t="shared" ref="I48:N51" si="18">H48*$N$1</f>
        <v>75480</v>
      </c>
      <c r="J48" s="67">
        <f t="shared" si="18"/>
        <v>76989.600000000006</v>
      </c>
      <c r="K48" s="67">
        <f t="shared" si="18"/>
        <v>78529.392000000007</v>
      </c>
      <c r="L48" s="67">
        <f t="shared" si="18"/>
        <v>80099.979840000015</v>
      </c>
      <c r="M48" s="67">
        <f t="shared" si="18"/>
        <v>81701.979436800015</v>
      </c>
      <c r="N48" s="67">
        <f t="shared" si="18"/>
        <v>83336.019025536021</v>
      </c>
    </row>
    <row r="49" spans="1:251" ht="14.25" customHeight="1" x14ac:dyDescent="0.2">
      <c r="A49" s="63"/>
      <c r="B49" s="202" t="s">
        <v>95</v>
      </c>
      <c r="C49" s="202"/>
      <c r="D49" s="202"/>
      <c r="E49" s="202"/>
      <c r="F49" s="202"/>
      <c r="G49" s="202"/>
      <c r="H49" s="67">
        <v>1795</v>
      </c>
      <c r="I49" s="67">
        <f t="shared" si="18"/>
        <v>1830.9</v>
      </c>
      <c r="J49" s="67">
        <f t="shared" si="18"/>
        <v>1867.518</v>
      </c>
      <c r="K49" s="67">
        <f t="shared" si="18"/>
        <v>1904.8683600000002</v>
      </c>
      <c r="L49" s="67">
        <f t="shared" si="18"/>
        <v>1942.9657272000002</v>
      </c>
      <c r="M49" s="67">
        <f t="shared" si="18"/>
        <v>1981.8250417440001</v>
      </c>
      <c r="N49" s="67">
        <f t="shared" si="18"/>
        <v>2021.4615425788802</v>
      </c>
    </row>
    <row r="50" spans="1:251" ht="13.5" customHeight="1" x14ac:dyDescent="0.2">
      <c r="A50" s="63"/>
      <c r="B50" s="202" t="s">
        <v>96</v>
      </c>
      <c r="C50" s="202"/>
      <c r="D50" s="202"/>
      <c r="E50" s="202"/>
      <c r="F50" s="202"/>
      <c r="G50" s="202"/>
      <c r="H50" s="67">
        <v>9250</v>
      </c>
      <c r="I50" s="67">
        <f t="shared" si="18"/>
        <v>9435</v>
      </c>
      <c r="J50" s="67">
        <f t="shared" si="18"/>
        <v>9623.7000000000007</v>
      </c>
      <c r="K50" s="67">
        <f t="shared" si="18"/>
        <v>9816.1740000000009</v>
      </c>
      <c r="L50" s="67">
        <f t="shared" si="18"/>
        <v>10012.497480000002</v>
      </c>
      <c r="M50" s="67">
        <f t="shared" si="18"/>
        <v>10212.747429600002</v>
      </c>
      <c r="N50" s="67">
        <f t="shared" si="18"/>
        <v>10417.002378192003</v>
      </c>
    </row>
    <row r="51" spans="1:251" ht="12.75" customHeight="1" x14ac:dyDescent="0.2">
      <c r="A51" s="63"/>
      <c r="B51" s="202" t="s">
        <v>97</v>
      </c>
      <c r="C51" s="202"/>
      <c r="D51" s="202"/>
      <c r="E51" s="202"/>
      <c r="F51" s="202"/>
      <c r="G51" s="202"/>
      <c r="H51" s="67">
        <v>1750</v>
      </c>
      <c r="I51" s="67">
        <f t="shared" si="18"/>
        <v>1785</v>
      </c>
      <c r="J51" s="67">
        <f t="shared" si="18"/>
        <v>1820.7</v>
      </c>
      <c r="K51" s="67">
        <f t="shared" si="18"/>
        <v>1857.114</v>
      </c>
      <c r="L51" s="67">
        <f t="shared" si="18"/>
        <v>1894.2562800000001</v>
      </c>
      <c r="M51" s="67">
        <f t="shared" si="18"/>
        <v>1932.1414056000001</v>
      </c>
      <c r="N51" s="67">
        <f t="shared" si="18"/>
        <v>1970.7842337120001</v>
      </c>
    </row>
    <row r="52" spans="1:251" ht="15.75" customHeight="1" x14ac:dyDescent="0.2">
      <c r="A52" s="70"/>
      <c r="B52" s="204" t="s">
        <v>98</v>
      </c>
      <c r="C52" s="204"/>
      <c r="D52" s="204"/>
      <c r="E52" s="204"/>
      <c r="F52" s="204"/>
      <c r="G52" s="204"/>
      <c r="H52" s="92">
        <f t="shared" ref="H52" si="19">SUM(H48:H51)</f>
        <v>86795</v>
      </c>
      <c r="I52" s="92">
        <f t="shared" ref="I52:N52" si="20">SUM(I48:I51)</f>
        <v>88530.9</v>
      </c>
      <c r="J52" s="92">
        <f t="shared" si="20"/>
        <v>90301.517999999996</v>
      </c>
      <c r="K52" s="92">
        <f t="shared" si="20"/>
        <v>92107.548360000001</v>
      </c>
      <c r="L52" s="92">
        <f t="shared" si="20"/>
        <v>93949.699327200025</v>
      </c>
      <c r="M52" s="92">
        <f t="shared" si="20"/>
        <v>95828.693313744021</v>
      </c>
      <c r="N52" s="92">
        <f t="shared" si="20"/>
        <v>97745.267180018898</v>
      </c>
    </row>
    <row r="53" spans="1:251" ht="12.75" customHeight="1" x14ac:dyDescent="0.2">
      <c r="A53" s="79">
        <v>460</v>
      </c>
      <c r="B53" s="208" t="s">
        <v>99</v>
      </c>
      <c r="C53" s="208"/>
      <c r="D53" s="208"/>
      <c r="E53" s="208"/>
      <c r="F53" s="208"/>
      <c r="G53" s="208"/>
      <c r="H53" s="83">
        <v>77000</v>
      </c>
      <c r="I53" s="80">
        <f t="shared" ref="I53:N56" si="21">H53*$N$1</f>
        <v>78540</v>
      </c>
      <c r="J53" s="80">
        <f t="shared" si="21"/>
        <v>80110.8</v>
      </c>
      <c r="K53" s="80">
        <f t="shared" si="21"/>
        <v>81713.016000000003</v>
      </c>
      <c r="L53" s="80">
        <f t="shared" si="21"/>
        <v>83347.276320000004</v>
      </c>
      <c r="M53" s="80">
        <f t="shared" si="21"/>
        <v>85014.221846400003</v>
      </c>
      <c r="N53" s="80">
        <f t="shared" si="21"/>
        <v>86714.50628332801</v>
      </c>
      <c r="O53" s="54" t="s">
        <v>279</v>
      </c>
    </row>
    <row r="54" spans="1:251" ht="12.75" customHeight="1" x14ac:dyDescent="0.2">
      <c r="A54" s="79">
        <v>461</v>
      </c>
      <c r="B54" s="208" t="s">
        <v>100</v>
      </c>
      <c r="C54" s="208"/>
      <c r="D54" s="208"/>
      <c r="E54" s="208"/>
      <c r="F54" s="208"/>
      <c r="G54" s="208"/>
      <c r="H54" s="83">
        <v>90000</v>
      </c>
      <c r="I54" s="80">
        <v>65000</v>
      </c>
      <c r="J54" s="80">
        <f t="shared" si="21"/>
        <v>66300</v>
      </c>
      <c r="K54" s="80">
        <f t="shared" si="21"/>
        <v>67626</v>
      </c>
      <c r="L54" s="80">
        <f t="shared" si="21"/>
        <v>68978.52</v>
      </c>
      <c r="M54" s="80">
        <f t="shared" si="21"/>
        <v>70358.090400000001</v>
      </c>
      <c r="N54" s="80">
        <f t="shared" si="21"/>
        <v>71765.252208000005</v>
      </c>
      <c r="O54" s="54" t="s">
        <v>280</v>
      </c>
    </row>
    <row r="55" spans="1:251" ht="12.75" customHeight="1" x14ac:dyDescent="0.2">
      <c r="A55" s="79">
        <v>462</v>
      </c>
      <c r="B55" s="208" t="s">
        <v>101</v>
      </c>
      <c r="C55" s="208"/>
      <c r="D55" s="208"/>
      <c r="E55" s="208"/>
      <c r="F55" s="208"/>
      <c r="G55" s="208"/>
      <c r="H55" s="83">
        <v>70000</v>
      </c>
      <c r="I55" s="80">
        <f t="shared" si="21"/>
        <v>71400</v>
      </c>
      <c r="J55" s="80">
        <f t="shared" si="21"/>
        <v>72828</v>
      </c>
      <c r="K55" s="80">
        <f t="shared" si="21"/>
        <v>74284.56</v>
      </c>
      <c r="L55" s="80">
        <f t="shared" si="21"/>
        <v>75770.251199999999</v>
      </c>
      <c r="M55" s="80">
        <f t="shared" si="21"/>
        <v>77285.656224000006</v>
      </c>
      <c r="N55" s="80">
        <f t="shared" si="21"/>
        <v>78831.369348480002</v>
      </c>
      <c r="O55" s="54" t="s">
        <v>281</v>
      </c>
    </row>
    <row r="56" spans="1:251" ht="12.75" customHeight="1" x14ac:dyDescent="0.2">
      <c r="A56" s="79">
        <v>470</v>
      </c>
      <c r="B56" s="208" t="s">
        <v>102</v>
      </c>
      <c r="C56" s="208"/>
      <c r="D56" s="208"/>
      <c r="E56" s="208"/>
      <c r="F56" s="208"/>
      <c r="G56" s="208"/>
      <c r="H56" s="83">
        <v>1300</v>
      </c>
      <c r="I56" s="80">
        <f t="shared" si="21"/>
        <v>1326</v>
      </c>
      <c r="J56" s="80">
        <f t="shared" si="21"/>
        <v>1352.52</v>
      </c>
      <c r="K56" s="80">
        <f t="shared" si="21"/>
        <v>1379.5704000000001</v>
      </c>
      <c r="L56" s="80">
        <f t="shared" si="21"/>
        <v>1407.1618080000001</v>
      </c>
      <c r="M56" s="80">
        <f t="shared" si="21"/>
        <v>1435.3050441600001</v>
      </c>
      <c r="N56" s="80">
        <f t="shared" si="21"/>
        <v>1464.0111450432</v>
      </c>
      <c r="O56" s="54" t="s">
        <v>282</v>
      </c>
    </row>
    <row r="57" spans="1:251" ht="12.75" customHeight="1" x14ac:dyDescent="0.2">
      <c r="A57" s="63">
        <v>490</v>
      </c>
      <c r="B57" s="213" t="s">
        <v>103</v>
      </c>
      <c r="C57" s="213"/>
      <c r="D57" s="213"/>
      <c r="E57" s="213"/>
      <c r="F57" s="213"/>
      <c r="G57" s="213"/>
      <c r="H57" s="73"/>
      <c r="I57" s="73"/>
      <c r="J57" s="73"/>
      <c r="K57" s="73"/>
      <c r="L57" s="73"/>
      <c r="M57" s="73"/>
      <c r="N57" s="73"/>
      <c r="O57" s="54" t="s">
        <v>283</v>
      </c>
    </row>
    <row r="58" spans="1:251" ht="12.75" customHeight="1" x14ac:dyDescent="0.2">
      <c r="A58" s="66" t="s">
        <v>104</v>
      </c>
      <c r="B58" s="202" t="s">
        <v>105</v>
      </c>
      <c r="C58" s="202"/>
      <c r="D58" s="202"/>
      <c r="E58" s="202"/>
      <c r="F58" s="202"/>
      <c r="G58" s="202"/>
      <c r="H58" s="67">
        <v>6000</v>
      </c>
      <c r="I58" s="67">
        <f t="shared" ref="I58:N59" si="22">H58*$N$1</f>
        <v>6120</v>
      </c>
      <c r="J58" s="67">
        <f t="shared" si="22"/>
        <v>6242.4000000000005</v>
      </c>
      <c r="K58" s="67">
        <f t="shared" si="22"/>
        <v>6367.2480000000005</v>
      </c>
      <c r="L58" s="67">
        <f t="shared" si="22"/>
        <v>6494.5929600000009</v>
      </c>
      <c r="M58" s="67">
        <f t="shared" si="22"/>
        <v>6624.4848192000009</v>
      </c>
      <c r="N58" s="67">
        <f t="shared" si="22"/>
        <v>6756.974515584001</v>
      </c>
      <c r="O58" s="74"/>
      <c r="P58" s="74"/>
      <c r="Q58" s="74"/>
      <c r="R58" s="74"/>
      <c r="S58" s="74"/>
      <c r="T58" s="93"/>
      <c r="U58" s="202"/>
      <c r="V58" s="202"/>
      <c r="W58" s="202"/>
      <c r="X58" s="202"/>
      <c r="Y58" s="202"/>
      <c r="Z58" s="202"/>
      <c r="AA58" s="94"/>
      <c r="AB58" s="95"/>
      <c r="AC58" s="88"/>
      <c r="AD58" s="88"/>
      <c r="AE58" s="67"/>
      <c r="AF58" s="96"/>
      <c r="AG58" s="212"/>
      <c r="AH58" s="202"/>
      <c r="AI58" s="202"/>
      <c r="AJ58" s="202"/>
      <c r="AK58" s="202"/>
      <c r="AL58" s="202"/>
      <c r="AM58" s="94"/>
      <c r="AN58" s="95"/>
      <c r="AO58" s="88"/>
      <c r="AP58" s="88"/>
      <c r="AQ58" s="67"/>
      <c r="AR58" s="96"/>
      <c r="AS58" s="212"/>
      <c r="AT58" s="202"/>
      <c r="AU58" s="202"/>
      <c r="AV58" s="202"/>
      <c r="AW58" s="202"/>
      <c r="AX58" s="202"/>
      <c r="AY58" s="94"/>
      <c r="AZ58" s="95"/>
      <c r="BA58" s="88"/>
      <c r="BB58" s="88"/>
      <c r="BC58" s="67"/>
      <c r="BD58" s="96"/>
      <c r="BE58" s="212"/>
      <c r="BF58" s="202"/>
      <c r="BG58" s="202"/>
      <c r="BH58" s="202"/>
      <c r="BI58" s="202"/>
      <c r="BJ58" s="202"/>
      <c r="BK58" s="94"/>
      <c r="BL58" s="95"/>
      <c r="BM58" s="88"/>
      <c r="BN58" s="88"/>
      <c r="BO58" s="67"/>
      <c r="BP58" s="96"/>
      <c r="BQ58" s="212"/>
      <c r="BR58" s="202"/>
      <c r="BS58" s="202"/>
      <c r="BT58" s="202"/>
      <c r="BU58" s="202"/>
      <c r="BV58" s="202"/>
      <c r="BW58" s="94"/>
      <c r="BX58" s="95"/>
      <c r="BY58" s="88"/>
      <c r="BZ58" s="88"/>
      <c r="CA58" s="67"/>
      <c r="CB58" s="96"/>
      <c r="CC58" s="212"/>
      <c r="CD58" s="202"/>
      <c r="CE58" s="202"/>
      <c r="CF58" s="202"/>
      <c r="CG58" s="202"/>
      <c r="CH58" s="202"/>
      <c r="CI58" s="94"/>
      <c r="CJ58" s="95"/>
      <c r="CK58" s="88"/>
      <c r="CL58" s="88"/>
      <c r="CM58" s="67"/>
      <c r="CN58" s="96"/>
      <c r="CO58" s="212"/>
      <c r="CP58" s="202"/>
      <c r="CQ58" s="202"/>
      <c r="CR58" s="202"/>
      <c r="CS58" s="202"/>
      <c r="CT58" s="202"/>
      <c r="CU58" s="94"/>
      <c r="CV58" s="95"/>
      <c r="CW58" s="88"/>
      <c r="CX58" s="88"/>
      <c r="CY58" s="67"/>
      <c r="CZ58" s="96"/>
      <c r="DA58" s="212"/>
      <c r="DB58" s="202"/>
      <c r="DC58" s="202"/>
      <c r="DD58" s="202"/>
      <c r="DE58" s="202"/>
      <c r="DF58" s="202"/>
      <c r="DG58" s="94"/>
      <c r="DH58" s="95"/>
      <c r="DI58" s="88"/>
      <c r="DJ58" s="88"/>
      <c r="DK58" s="67"/>
      <c r="DL58" s="96"/>
      <c r="DM58" s="212"/>
      <c r="DN58" s="202"/>
      <c r="DO58" s="202"/>
      <c r="DP58" s="202"/>
      <c r="DQ58" s="202"/>
      <c r="DR58" s="202"/>
      <c r="DS58" s="94"/>
      <c r="DT58" s="95"/>
      <c r="DU58" s="88"/>
      <c r="DV58" s="88"/>
      <c r="DW58" s="67"/>
      <c r="DX58" s="96"/>
      <c r="DY58" s="212"/>
      <c r="DZ58" s="202"/>
      <c r="EA58" s="202"/>
      <c r="EB58" s="202"/>
      <c r="EC58" s="202"/>
      <c r="ED58" s="202"/>
      <c r="EE58" s="94"/>
      <c r="EF58" s="95"/>
      <c r="EG58" s="88"/>
      <c r="EH58" s="88"/>
      <c r="EI58" s="67"/>
      <c r="EJ58" s="96"/>
      <c r="EK58" s="212"/>
      <c r="EL58" s="202"/>
      <c r="EM58" s="202"/>
      <c r="EN58" s="202"/>
      <c r="EO58" s="202"/>
      <c r="EP58" s="202"/>
      <c r="EQ58" s="94"/>
      <c r="ER58" s="95"/>
      <c r="ES58" s="88"/>
      <c r="ET58" s="88"/>
      <c r="EU58" s="67"/>
      <c r="EV58" s="96"/>
      <c r="EW58" s="212"/>
      <c r="EX58" s="202"/>
      <c r="EY58" s="202"/>
      <c r="EZ58" s="202"/>
      <c r="FA58" s="202"/>
      <c r="FB58" s="202"/>
      <c r="FC58" s="94"/>
      <c r="FD58" s="95"/>
      <c r="FE58" s="88"/>
      <c r="FF58" s="88"/>
      <c r="FG58" s="67"/>
      <c r="FH58" s="96"/>
      <c r="FI58" s="212"/>
      <c r="FJ58" s="202"/>
      <c r="FK58" s="202"/>
      <c r="FL58" s="202"/>
      <c r="FM58" s="202"/>
      <c r="FN58" s="202"/>
      <c r="FO58" s="94"/>
      <c r="FP58" s="95"/>
      <c r="FQ58" s="88"/>
      <c r="FR58" s="88"/>
      <c r="FS58" s="67"/>
      <c r="FT58" s="96"/>
      <c r="FU58" s="212"/>
      <c r="FV58" s="202"/>
      <c r="FW58" s="202"/>
      <c r="FX58" s="202"/>
      <c r="FY58" s="202"/>
      <c r="FZ58" s="202"/>
      <c r="GA58" s="94"/>
      <c r="GB58" s="95"/>
      <c r="GC58" s="88"/>
      <c r="GD58" s="88"/>
      <c r="GE58" s="67"/>
      <c r="GF58" s="96"/>
      <c r="GG58" s="212"/>
      <c r="GH58" s="202"/>
      <c r="GI58" s="202"/>
      <c r="GJ58" s="202"/>
      <c r="GK58" s="202"/>
      <c r="GL58" s="202"/>
      <c r="GM58" s="94"/>
      <c r="GN58" s="95"/>
      <c r="GO58" s="88"/>
      <c r="GP58" s="88"/>
      <c r="GQ58" s="67"/>
      <c r="GR58" s="96"/>
      <c r="GS58" s="212"/>
      <c r="GT58" s="202"/>
      <c r="GU58" s="202"/>
      <c r="GV58" s="202"/>
      <c r="GW58" s="202"/>
      <c r="GX58" s="202"/>
      <c r="GY58" s="94"/>
      <c r="GZ58" s="95"/>
      <c r="HA58" s="88"/>
      <c r="HB58" s="88"/>
      <c r="HC58" s="67"/>
      <c r="HD58" s="96"/>
      <c r="HE58" s="212"/>
      <c r="HF58" s="202"/>
      <c r="HG58" s="202"/>
      <c r="HH58" s="202"/>
      <c r="HI58" s="202"/>
      <c r="HJ58" s="202"/>
      <c r="HK58" s="94"/>
      <c r="HL58" s="95"/>
      <c r="HM58" s="88"/>
      <c r="HN58" s="88"/>
      <c r="HO58" s="67"/>
      <c r="HP58" s="96"/>
      <c r="HQ58" s="212"/>
      <c r="HR58" s="202"/>
      <c r="HS58" s="202"/>
      <c r="HT58" s="202"/>
      <c r="HU58" s="202"/>
      <c r="HV58" s="202"/>
      <c r="HW58" s="94"/>
      <c r="HX58" s="95"/>
      <c r="HY58" s="88"/>
      <c r="HZ58" s="88"/>
      <c r="IA58" s="67"/>
      <c r="IB58" s="96"/>
      <c r="IC58" s="212"/>
      <c r="ID58" s="202"/>
      <c r="IE58" s="202"/>
      <c r="IF58" s="202"/>
      <c r="IG58" s="202"/>
      <c r="IH58" s="202"/>
      <c r="II58" s="94"/>
      <c r="IJ58" s="95"/>
      <c r="IK58" s="88"/>
      <c r="IL58" s="88"/>
      <c r="IM58" s="67"/>
      <c r="IN58" s="96"/>
      <c r="IO58" s="212"/>
      <c r="IP58" s="202"/>
      <c r="IQ58" s="202"/>
    </row>
    <row r="59" spans="1:251" x14ac:dyDescent="0.2">
      <c r="A59" s="66" t="s">
        <v>106</v>
      </c>
      <c r="B59" s="202" t="s">
        <v>107</v>
      </c>
      <c r="C59" s="202"/>
      <c r="D59" s="202"/>
      <c r="E59" s="202"/>
      <c r="F59" s="202"/>
      <c r="G59" s="202"/>
      <c r="H59" s="67">
        <v>12500</v>
      </c>
      <c r="I59" s="67">
        <f t="shared" si="22"/>
        <v>12750</v>
      </c>
      <c r="J59" s="67">
        <f t="shared" si="22"/>
        <v>13005</v>
      </c>
      <c r="K59" s="67">
        <f t="shared" si="22"/>
        <v>13265.1</v>
      </c>
      <c r="L59" s="67">
        <f t="shared" si="22"/>
        <v>13530.402</v>
      </c>
      <c r="M59" s="67">
        <f t="shared" si="22"/>
        <v>13801.010040000001</v>
      </c>
      <c r="N59" s="67">
        <f t="shared" si="22"/>
        <v>14077.030240800001</v>
      </c>
    </row>
    <row r="60" spans="1:251" ht="12.75" customHeight="1" x14ac:dyDescent="0.2">
      <c r="A60" s="70"/>
      <c r="B60" s="204" t="s">
        <v>108</v>
      </c>
      <c r="C60" s="204"/>
      <c r="D60" s="204"/>
      <c r="E60" s="204"/>
      <c r="F60" s="204"/>
      <c r="G60" s="204"/>
      <c r="H60" s="71">
        <f t="shared" ref="H60" si="23">SUM(H58:H59)</f>
        <v>18500</v>
      </c>
      <c r="I60" s="71">
        <f t="shared" ref="I60:N60" si="24">SUM(I58:I59)</f>
        <v>18870</v>
      </c>
      <c r="J60" s="71">
        <f t="shared" si="24"/>
        <v>19247.400000000001</v>
      </c>
      <c r="K60" s="71">
        <f t="shared" si="24"/>
        <v>19632.348000000002</v>
      </c>
      <c r="L60" s="71">
        <f t="shared" si="24"/>
        <v>20024.99496</v>
      </c>
      <c r="M60" s="71">
        <f t="shared" si="24"/>
        <v>20425.4948592</v>
      </c>
      <c r="N60" s="71">
        <f t="shared" si="24"/>
        <v>20834.004756384002</v>
      </c>
    </row>
    <row r="61" spans="1:251" x14ac:dyDescent="0.2">
      <c r="A61" s="77">
        <v>491</v>
      </c>
      <c r="B61" s="210" t="s">
        <v>109</v>
      </c>
      <c r="C61" s="210"/>
      <c r="D61" s="210"/>
      <c r="E61" s="210"/>
      <c r="F61" s="210"/>
      <c r="G61" s="210"/>
      <c r="H61" s="73"/>
      <c r="I61" s="73"/>
      <c r="J61" s="73"/>
      <c r="K61" s="73"/>
      <c r="L61" s="73"/>
      <c r="M61" s="73"/>
      <c r="N61" s="73"/>
      <c r="O61" s="54" t="s">
        <v>284</v>
      </c>
    </row>
    <row r="62" spans="1:251" ht="12.75" customHeight="1" x14ac:dyDescent="0.2">
      <c r="A62" s="66" t="s">
        <v>55</v>
      </c>
      <c r="B62" s="202" t="s">
        <v>110</v>
      </c>
      <c r="C62" s="202"/>
      <c r="D62" s="202"/>
      <c r="E62" s="202"/>
      <c r="F62" s="202"/>
      <c r="G62" s="202"/>
      <c r="H62" s="67">
        <v>20000</v>
      </c>
      <c r="I62" s="67">
        <f t="shared" ref="I62:N64" si="25">H62*$N$1</f>
        <v>20400</v>
      </c>
      <c r="J62" s="67">
        <f t="shared" si="25"/>
        <v>20808</v>
      </c>
      <c r="K62" s="67">
        <f t="shared" si="25"/>
        <v>21224.16</v>
      </c>
      <c r="L62" s="67">
        <f t="shared" si="25"/>
        <v>21648.643199999999</v>
      </c>
      <c r="M62" s="67">
        <f t="shared" si="25"/>
        <v>22081.616063999998</v>
      </c>
      <c r="N62" s="67">
        <f t="shared" si="25"/>
        <v>22523.24838528</v>
      </c>
    </row>
    <row r="63" spans="1:251" ht="12.75" customHeight="1" x14ac:dyDescent="0.2">
      <c r="A63" s="66" t="s">
        <v>50</v>
      </c>
      <c r="B63" s="202" t="s">
        <v>111</v>
      </c>
      <c r="C63" s="202"/>
      <c r="D63" s="202"/>
      <c r="E63" s="202"/>
      <c r="F63" s="202"/>
      <c r="G63" s="202"/>
      <c r="H63" s="67">
        <v>5345</v>
      </c>
      <c r="I63" s="67">
        <f t="shared" si="25"/>
        <v>5451.9000000000005</v>
      </c>
      <c r="J63" s="67">
        <f t="shared" si="25"/>
        <v>5560.938000000001</v>
      </c>
      <c r="K63" s="67">
        <f t="shared" si="25"/>
        <v>5672.1567600000008</v>
      </c>
      <c r="L63" s="67">
        <f t="shared" si="25"/>
        <v>5785.5998952000009</v>
      </c>
      <c r="M63" s="67">
        <f t="shared" si="25"/>
        <v>5901.3118931040008</v>
      </c>
      <c r="N63" s="67">
        <f t="shared" si="25"/>
        <v>6019.3381309660808</v>
      </c>
    </row>
    <row r="64" spans="1:251" ht="14.65" customHeight="1" x14ac:dyDescent="0.2">
      <c r="A64" s="66" t="s">
        <v>56</v>
      </c>
      <c r="B64" s="211" t="s">
        <v>112</v>
      </c>
      <c r="C64" s="211"/>
      <c r="D64" s="211"/>
      <c r="E64" s="211"/>
      <c r="F64" s="211"/>
      <c r="G64" s="211"/>
      <c r="H64" s="67">
        <v>3250</v>
      </c>
      <c r="I64" s="67">
        <f t="shared" si="25"/>
        <v>3315</v>
      </c>
      <c r="J64" s="67">
        <f t="shared" si="25"/>
        <v>3381.3</v>
      </c>
      <c r="K64" s="67">
        <f t="shared" si="25"/>
        <v>3448.9260000000004</v>
      </c>
      <c r="L64" s="67">
        <f t="shared" si="25"/>
        <v>3517.9045200000005</v>
      </c>
      <c r="M64" s="67">
        <f t="shared" si="25"/>
        <v>3588.2626104000005</v>
      </c>
      <c r="N64" s="67">
        <f t="shared" si="25"/>
        <v>3660.0278626080008</v>
      </c>
    </row>
    <row r="65" spans="1:15" ht="12.75" hidden="1" customHeight="1" x14ac:dyDescent="0.25">
      <c r="A65" s="66"/>
      <c r="B65" s="202" t="s">
        <v>113</v>
      </c>
      <c r="C65" s="202"/>
      <c r="D65" s="202"/>
      <c r="E65" s="202"/>
      <c r="F65" s="202"/>
      <c r="G65" s="202"/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1:15" ht="12.75" customHeight="1" x14ac:dyDescent="0.2">
      <c r="A66" s="66" t="s">
        <v>81</v>
      </c>
      <c r="B66" s="202" t="s">
        <v>114</v>
      </c>
      <c r="C66" s="202"/>
      <c r="D66" s="202"/>
      <c r="E66" s="202"/>
      <c r="F66" s="202"/>
      <c r="G66" s="202"/>
      <c r="H66" s="67">
        <v>3400</v>
      </c>
      <c r="I66" s="67">
        <f t="shared" ref="I66:N67" si="26">H66*$N$1</f>
        <v>3468</v>
      </c>
      <c r="J66" s="67">
        <f t="shared" si="26"/>
        <v>3537.36</v>
      </c>
      <c r="K66" s="67">
        <f t="shared" si="26"/>
        <v>3608.1072000000004</v>
      </c>
      <c r="L66" s="67">
        <f t="shared" si="26"/>
        <v>3680.2693440000003</v>
      </c>
      <c r="M66" s="67">
        <f t="shared" si="26"/>
        <v>3753.8747308800002</v>
      </c>
      <c r="N66" s="67">
        <f t="shared" si="26"/>
        <v>3828.9522254976005</v>
      </c>
    </row>
    <row r="67" spans="1:15" ht="12.75" customHeight="1" x14ac:dyDescent="0.2">
      <c r="A67" s="66" t="s">
        <v>104</v>
      </c>
      <c r="B67" s="202" t="s">
        <v>115</v>
      </c>
      <c r="C67" s="202"/>
      <c r="D67" s="202"/>
      <c r="E67" s="202"/>
      <c r="F67" s="202"/>
      <c r="G67" s="202"/>
      <c r="H67" s="67">
        <v>6550</v>
      </c>
      <c r="I67" s="67">
        <f t="shared" si="26"/>
        <v>6681</v>
      </c>
      <c r="J67" s="67">
        <f t="shared" si="26"/>
        <v>6814.62</v>
      </c>
      <c r="K67" s="67">
        <f t="shared" si="26"/>
        <v>6950.9124000000002</v>
      </c>
      <c r="L67" s="67">
        <f t="shared" si="26"/>
        <v>7089.9306480000005</v>
      </c>
      <c r="M67" s="67">
        <f t="shared" si="26"/>
        <v>7231.7292609600008</v>
      </c>
      <c r="N67" s="67">
        <f t="shared" si="26"/>
        <v>7376.3638461792007</v>
      </c>
    </row>
    <row r="68" spans="1:15" ht="12.75" customHeight="1" x14ac:dyDescent="0.2">
      <c r="A68" s="70"/>
      <c r="B68" s="204" t="s">
        <v>116</v>
      </c>
      <c r="C68" s="204"/>
      <c r="D68" s="204"/>
      <c r="E68" s="204"/>
      <c r="F68" s="204"/>
      <c r="G68" s="204"/>
      <c r="H68" s="71">
        <f t="shared" ref="H68" si="27">SUM(H62:H67)</f>
        <v>38545</v>
      </c>
      <c r="I68" s="71">
        <f t="shared" ref="I68:N68" si="28">SUM(I62:I67)</f>
        <v>39315.9</v>
      </c>
      <c r="J68" s="71">
        <f t="shared" si="28"/>
        <v>40102.218000000001</v>
      </c>
      <c r="K68" s="71">
        <f t="shared" si="28"/>
        <v>40904.262360000001</v>
      </c>
      <c r="L68" s="71">
        <f t="shared" si="28"/>
        <v>41722.347607199998</v>
      </c>
      <c r="M68" s="71">
        <f t="shared" si="28"/>
        <v>42556.794559343994</v>
      </c>
      <c r="N68" s="71">
        <f t="shared" si="28"/>
        <v>43407.930450530883</v>
      </c>
    </row>
    <row r="69" spans="1:15" ht="12.75" customHeight="1" x14ac:dyDescent="0.2">
      <c r="A69" s="79">
        <v>510</v>
      </c>
      <c r="B69" s="208" t="s">
        <v>117</v>
      </c>
      <c r="C69" s="208"/>
      <c r="D69" s="208"/>
      <c r="E69" s="208"/>
      <c r="F69" s="208"/>
      <c r="G69" s="208"/>
      <c r="H69" s="80">
        <v>6750</v>
      </c>
      <c r="I69" s="67">
        <f t="shared" ref="I69:N69" si="29">H69*$N$1</f>
        <v>6885</v>
      </c>
      <c r="J69" s="67">
        <f t="shared" si="29"/>
        <v>7022.7</v>
      </c>
      <c r="K69" s="67">
        <f t="shared" si="29"/>
        <v>7163.1539999999995</v>
      </c>
      <c r="L69" s="67">
        <f t="shared" si="29"/>
        <v>7306.4170799999993</v>
      </c>
      <c r="M69" s="67">
        <f t="shared" si="29"/>
        <v>7452.5454215999998</v>
      </c>
      <c r="N69" s="67">
        <f t="shared" si="29"/>
        <v>7601.596330032</v>
      </c>
      <c r="O69" s="54" t="s">
        <v>286</v>
      </c>
    </row>
    <row r="70" spans="1:15" ht="12.75" customHeight="1" x14ac:dyDescent="0.2">
      <c r="A70" s="77">
        <v>520</v>
      </c>
      <c r="B70" s="210" t="s">
        <v>118</v>
      </c>
      <c r="C70" s="210"/>
      <c r="D70" s="210"/>
      <c r="E70" s="210"/>
      <c r="F70" s="210"/>
      <c r="G70" s="210"/>
      <c r="H70" s="73"/>
      <c r="I70" s="73"/>
      <c r="J70" s="73"/>
      <c r="K70" s="73"/>
      <c r="L70" s="73"/>
      <c r="M70" s="73"/>
      <c r="N70" s="73"/>
      <c r="O70" s="54" t="s">
        <v>285</v>
      </c>
    </row>
    <row r="71" spans="1:15" ht="12.75" customHeight="1" x14ac:dyDescent="0.2">
      <c r="A71" s="66" t="s">
        <v>55</v>
      </c>
      <c r="B71" s="202" t="s">
        <v>119</v>
      </c>
      <c r="C71" s="202"/>
      <c r="D71" s="202"/>
      <c r="E71" s="202"/>
      <c r="F71" s="202"/>
      <c r="G71" s="202"/>
      <c r="H71" s="67">
        <v>1750</v>
      </c>
      <c r="I71" s="67">
        <f t="shared" ref="I71:N73" si="30">H71*$N$1</f>
        <v>1785</v>
      </c>
      <c r="J71" s="67">
        <f t="shared" si="30"/>
        <v>1820.7</v>
      </c>
      <c r="K71" s="67">
        <f t="shared" si="30"/>
        <v>1857.114</v>
      </c>
      <c r="L71" s="67">
        <f t="shared" si="30"/>
        <v>1894.2562800000001</v>
      </c>
      <c r="M71" s="67">
        <f t="shared" si="30"/>
        <v>1932.1414056000001</v>
      </c>
      <c r="N71" s="67">
        <f t="shared" si="30"/>
        <v>1970.7842337120001</v>
      </c>
    </row>
    <row r="72" spans="1:15" ht="12.75" customHeight="1" x14ac:dyDescent="0.2">
      <c r="A72" s="66" t="s">
        <v>50</v>
      </c>
      <c r="B72" s="202" t="s">
        <v>120</v>
      </c>
      <c r="C72" s="202"/>
      <c r="D72" s="202"/>
      <c r="E72" s="202"/>
      <c r="F72" s="202"/>
      <c r="G72" s="202"/>
      <c r="H72" s="67">
        <v>43000</v>
      </c>
      <c r="I72" s="67">
        <f t="shared" si="30"/>
        <v>43860</v>
      </c>
      <c r="J72" s="67">
        <f t="shared" si="30"/>
        <v>44737.200000000004</v>
      </c>
      <c r="K72" s="67">
        <f t="shared" si="30"/>
        <v>45631.944000000003</v>
      </c>
      <c r="L72" s="67">
        <f t="shared" si="30"/>
        <v>46544.582880000002</v>
      </c>
      <c r="M72" s="67">
        <f t="shared" si="30"/>
        <v>47475.474537599999</v>
      </c>
      <c r="N72" s="67">
        <f t="shared" si="30"/>
        <v>48424.984028352002</v>
      </c>
    </row>
    <row r="73" spans="1:15" ht="12.75" customHeight="1" x14ac:dyDescent="0.2">
      <c r="A73" s="66" t="s">
        <v>56</v>
      </c>
      <c r="B73" s="202" t="s">
        <v>139</v>
      </c>
      <c r="C73" s="202"/>
      <c r="D73" s="202"/>
      <c r="E73" s="202"/>
      <c r="F73" s="202"/>
      <c r="G73" s="202"/>
      <c r="H73" s="67">
        <v>78500</v>
      </c>
      <c r="I73" s="67">
        <f t="shared" si="30"/>
        <v>80070</v>
      </c>
      <c r="J73" s="67">
        <f t="shared" si="30"/>
        <v>81671.399999999994</v>
      </c>
      <c r="K73" s="67">
        <f t="shared" si="30"/>
        <v>83304.827999999994</v>
      </c>
      <c r="L73" s="67">
        <f t="shared" si="30"/>
        <v>84970.924559999999</v>
      </c>
      <c r="M73" s="67">
        <f t="shared" si="30"/>
        <v>86670.343051200005</v>
      </c>
      <c r="N73" s="67">
        <f t="shared" si="30"/>
        <v>88403.749912224011</v>
      </c>
    </row>
    <row r="74" spans="1:15" ht="12.75" hidden="1" customHeight="1" x14ac:dyDescent="0.25">
      <c r="A74" s="66">
        <v>520</v>
      </c>
      <c r="B74" s="202" t="s">
        <v>121</v>
      </c>
      <c r="C74" s="202"/>
      <c r="D74" s="202"/>
      <c r="E74" s="202"/>
      <c r="F74" s="202"/>
      <c r="G74" s="202"/>
      <c r="H74" s="67"/>
      <c r="I74" s="67"/>
      <c r="J74" s="67"/>
      <c r="K74" s="67"/>
      <c r="L74" s="67"/>
      <c r="M74" s="67"/>
      <c r="N74" s="67"/>
    </row>
    <row r="75" spans="1:15" ht="12.75" customHeight="1" x14ac:dyDescent="0.2">
      <c r="A75" s="66" t="s">
        <v>104</v>
      </c>
      <c r="B75" s="202" t="s">
        <v>122</v>
      </c>
      <c r="C75" s="202"/>
      <c r="D75" s="202"/>
      <c r="E75" s="202"/>
      <c r="F75" s="202"/>
      <c r="G75" s="202"/>
      <c r="H75" s="67">
        <v>7500</v>
      </c>
      <c r="I75" s="67">
        <f t="shared" ref="I75:N78" si="31">H75*$N$1</f>
        <v>7650</v>
      </c>
      <c r="J75" s="67">
        <f t="shared" si="31"/>
        <v>7803</v>
      </c>
      <c r="K75" s="67">
        <f t="shared" si="31"/>
        <v>7959.06</v>
      </c>
      <c r="L75" s="67">
        <f t="shared" si="31"/>
        <v>8118.2412000000004</v>
      </c>
      <c r="M75" s="67">
        <f t="shared" si="31"/>
        <v>8280.6060240000006</v>
      </c>
      <c r="N75" s="67">
        <f t="shared" si="31"/>
        <v>8446.2181444800008</v>
      </c>
    </row>
    <row r="76" spans="1:15" ht="12.75" customHeight="1" x14ac:dyDescent="0.2">
      <c r="A76" s="66" t="s">
        <v>106</v>
      </c>
      <c r="B76" s="202" t="s">
        <v>123</v>
      </c>
      <c r="C76" s="202"/>
      <c r="D76" s="202"/>
      <c r="E76" s="202"/>
      <c r="F76" s="202"/>
      <c r="G76" s="202"/>
      <c r="H76" s="67">
        <v>25000</v>
      </c>
      <c r="I76" s="67">
        <f t="shared" si="31"/>
        <v>25500</v>
      </c>
      <c r="J76" s="67">
        <f t="shared" si="31"/>
        <v>26010</v>
      </c>
      <c r="K76" s="67">
        <f t="shared" si="31"/>
        <v>26530.2</v>
      </c>
      <c r="L76" s="67">
        <f t="shared" si="31"/>
        <v>27060.804</v>
      </c>
      <c r="M76" s="67">
        <f t="shared" si="31"/>
        <v>27602.020080000002</v>
      </c>
      <c r="N76" s="67">
        <f t="shared" si="31"/>
        <v>28154.060481600001</v>
      </c>
    </row>
    <row r="77" spans="1:15" ht="12.75" customHeight="1" x14ac:dyDescent="0.2">
      <c r="A77" s="66" t="s">
        <v>83</v>
      </c>
      <c r="B77" s="202" t="s">
        <v>124</v>
      </c>
      <c r="C77" s="202"/>
      <c r="D77" s="202"/>
      <c r="E77" s="202"/>
      <c r="F77" s="202"/>
      <c r="G77" s="202"/>
      <c r="H77" s="67">
        <v>14000</v>
      </c>
      <c r="I77" s="67">
        <f t="shared" si="31"/>
        <v>14280</v>
      </c>
      <c r="J77" s="67">
        <f t="shared" si="31"/>
        <v>14565.6</v>
      </c>
      <c r="K77" s="67">
        <f t="shared" si="31"/>
        <v>14856.912</v>
      </c>
      <c r="L77" s="67">
        <f t="shared" si="31"/>
        <v>15154.05024</v>
      </c>
      <c r="M77" s="67">
        <f t="shared" si="31"/>
        <v>15457.131244800001</v>
      </c>
      <c r="N77" s="67">
        <f t="shared" si="31"/>
        <v>15766.273869696</v>
      </c>
    </row>
    <row r="78" spans="1:15" ht="12.75" customHeight="1" x14ac:dyDescent="0.2">
      <c r="A78" s="66" t="s">
        <v>125</v>
      </c>
      <c r="B78" s="202" t="s">
        <v>126</v>
      </c>
      <c r="C78" s="202"/>
      <c r="D78" s="202"/>
      <c r="E78" s="202"/>
      <c r="F78" s="202"/>
      <c r="G78" s="202"/>
      <c r="H78" s="67">
        <v>11000</v>
      </c>
      <c r="I78" s="67">
        <f t="shared" si="31"/>
        <v>11220</v>
      </c>
      <c r="J78" s="67">
        <f t="shared" si="31"/>
        <v>11444.4</v>
      </c>
      <c r="K78" s="67">
        <f t="shared" si="31"/>
        <v>11673.288</v>
      </c>
      <c r="L78" s="67">
        <f t="shared" si="31"/>
        <v>11906.753760000001</v>
      </c>
      <c r="M78" s="67">
        <f t="shared" si="31"/>
        <v>12144.888835200001</v>
      </c>
      <c r="N78" s="67">
        <f t="shared" si="31"/>
        <v>12387.786611904001</v>
      </c>
    </row>
    <row r="79" spans="1:15" ht="17.25" customHeight="1" x14ac:dyDescent="0.2">
      <c r="A79" s="70"/>
      <c r="B79" s="204" t="s">
        <v>127</v>
      </c>
      <c r="C79" s="204"/>
      <c r="D79" s="204"/>
      <c r="E79" s="204"/>
      <c r="F79" s="204"/>
      <c r="G79" s="204"/>
      <c r="H79" s="71">
        <f t="shared" ref="H79" si="32">SUM(H71:H78)</f>
        <v>180750</v>
      </c>
      <c r="I79" s="71">
        <f t="shared" ref="I79:N79" si="33">SUM(I71:I78)</f>
        <v>184365</v>
      </c>
      <c r="J79" s="71">
        <f t="shared" si="33"/>
        <v>188052.3</v>
      </c>
      <c r="K79" s="71">
        <f t="shared" si="33"/>
        <v>191813.34600000002</v>
      </c>
      <c r="L79" s="71">
        <f t="shared" si="33"/>
        <v>195649.61291999999</v>
      </c>
      <c r="M79" s="71">
        <f t="shared" si="33"/>
        <v>199562.6051784</v>
      </c>
      <c r="N79" s="71">
        <f t="shared" si="33"/>
        <v>203553.85728196803</v>
      </c>
    </row>
    <row r="80" spans="1:15" ht="17.25" customHeight="1" x14ac:dyDescent="0.2">
      <c r="A80" s="79">
        <v>521</v>
      </c>
      <c r="B80" s="208" t="s">
        <v>128</v>
      </c>
      <c r="C80" s="208"/>
      <c r="D80" s="208"/>
      <c r="E80" s="208"/>
      <c r="F80" s="208"/>
      <c r="G80" s="208"/>
      <c r="H80" s="80">
        <v>100</v>
      </c>
      <c r="I80" s="67">
        <f t="shared" ref="I80:N82" si="34">H80*$N$1</f>
        <v>102</v>
      </c>
      <c r="J80" s="67">
        <f t="shared" si="34"/>
        <v>104.04</v>
      </c>
      <c r="K80" s="67">
        <f t="shared" si="34"/>
        <v>106.1208</v>
      </c>
      <c r="L80" s="67">
        <f t="shared" si="34"/>
        <v>108.243216</v>
      </c>
      <c r="M80" s="67">
        <f t="shared" si="34"/>
        <v>110.40808032000001</v>
      </c>
      <c r="N80" s="67">
        <f t="shared" si="34"/>
        <v>112.61624192640001</v>
      </c>
      <c r="O80" s="54" t="s">
        <v>287</v>
      </c>
    </row>
    <row r="81" spans="1:15" ht="18" customHeight="1" x14ac:dyDescent="0.2">
      <c r="A81" s="79">
        <v>522</v>
      </c>
      <c r="B81" s="208" t="s">
        <v>129</v>
      </c>
      <c r="C81" s="208"/>
      <c r="D81" s="208"/>
      <c r="E81" s="208"/>
      <c r="F81" s="208"/>
      <c r="G81" s="208"/>
      <c r="H81" s="80">
        <v>32500</v>
      </c>
      <c r="I81" s="80">
        <f t="shared" si="34"/>
        <v>33150</v>
      </c>
      <c r="J81" s="80">
        <f t="shared" si="34"/>
        <v>33813</v>
      </c>
      <c r="K81" s="80">
        <f t="shared" si="34"/>
        <v>34489.26</v>
      </c>
      <c r="L81" s="80">
        <f t="shared" si="34"/>
        <v>35179.0452</v>
      </c>
      <c r="M81" s="80">
        <f t="shared" si="34"/>
        <v>35882.626104000003</v>
      </c>
      <c r="N81" s="80">
        <f t="shared" si="34"/>
        <v>36600.278626080006</v>
      </c>
      <c r="O81" s="54" t="s">
        <v>288</v>
      </c>
    </row>
    <row r="82" spans="1:15" ht="12.75" customHeight="1" x14ac:dyDescent="0.2">
      <c r="A82" s="79">
        <v>540</v>
      </c>
      <c r="B82" s="209" t="s">
        <v>130</v>
      </c>
      <c r="C82" s="209"/>
      <c r="D82" s="209"/>
      <c r="E82" s="209"/>
      <c r="F82" s="209"/>
      <c r="G82" s="209"/>
      <c r="H82" s="97">
        <v>17600</v>
      </c>
      <c r="I82" s="67">
        <f t="shared" si="34"/>
        <v>17952</v>
      </c>
      <c r="J82" s="67">
        <f t="shared" si="34"/>
        <v>18311.04</v>
      </c>
      <c r="K82" s="67">
        <f t="shared" si="34"/>
        <v>18677.2608</v>
      </c>
      <c r="L82" s="67">
        <f t="shared" si="34"/>
        <v>19050.806015999999</v>
      </c>
      <c r="M82" s="67">
        <f t="shared" si="34"/>
        <v>19431.822136319999</v>
      </c>
      <c r="N82" s="67">
        <f t="shared" si="34"/>
        <v>19820.458579046401</v>
      </c>
      <c r="O82" s="54" t="s">
        <v>289</v>
      </c>
    </row>
    <row r="83" spans="1:15" ht="13.5" customHeight="1" x14ac:dyDescent="0.2">
      <c r="A83" s="77">
        <v>805</v>
      </c>
      <c r="B83" s="210" t="s">
        <v>131</v>
      </c>
      <c r="C83" s="210"/>
      <c r="D83" s="210"/>
      <c r="E83" s="210"/>
      <c r="F83" s="210"/>
      <c r="G83" s="210"/>
      <c r="H83" s="73"/>
      <c r="I83" s="73"/>
      <c r="J83" s="73"/>
      <c r="K83" s="73"/>
      <c r="L83" s="73"/>
      <c r="M83" s="73"/>
      <c r="N83" s="73"/>
    </row>
    <row r="84" spans="1:15" ht="13.5" customHeight="1" x14ac:dyDescent="0.2">
      <c r="A84" s="63" t="s">
        <v>55</v>
      </c>
      <c r="B84" s="202" t="s">
        <v>132</v>
      </c>
      <c r="C84" s="202"/>
      <c r="D84" s="202"/>
      <c r="E84" s="202"/>
      <c r="F84" s="202"/>
      <c r="G84" s="203"/>
      <c r="H84" s="67">
        <v>500</v>
      </c>
      <c r="I84" s="67">
        <f t="shared" ref="I84:N87" si="35">H84*$N$1</f>
        <v>510</v>
      </c>
      <c r="J84" s="67">
        <f t="shared" si="35"/>
        <v>520.20000000000005</v>
      </c>
      <c r="K84" s="67">
        <f t="shared" si="35"/>
        <v>530.60400000000004</v>
      </c>
      <c r="L84" s="67">
        <f t="shared" si="35"/>
        <v>541.21608000000003</v>
      </c>
      <c r="M84" s="67">
        <f t="shared" si="35"/>
        <v>552.0404016</v>
      </c>
      <c r="N84" s="67">
        <f t="shared" si="35"/>
        <v>563.08120963199997</v>
      </c>
    </row>
    <row r="85" spans="1:15" ht="12.75" customHeight="1" x14ac:dyDescent="0.2">
      <c r="A85" s="63" t="s">
        <v>50</v>
      </c>
      <c r="B85" s="202" t="s">
        <v>133</v>
      </c>
      <c r="C85" s="202"/>
      <c r="D85" s="202"/>
      <c r="E85" s="202"/>
      <c r="F85" s="202"/>
      <c r="G85" s="203"/>
      <c r="H85" s="67">
        <v>0</v>
      </c>
      <c r="I85" s="67">
        <f t="shared" si="35"/>
        <v>0</v>
      </c>
      <c r="J85" s="67">
        <f t="shared" si="35"/>
        <v>0</v>
      </c>
      <c r="K85" s="67">
        <f t="shared" si="35"/>
        <v>0</v>
      </c>
      <c r="L85" s="67">
        <f t="shared" si="35"/>
        <v>0</v>
      </c>
      <c r="M85" s="67">
        <f t="shared" si="35"/>
        <v>0</v>
      </c>
      <c r="N85" s="67">
        <f t="shared" si="35"/>
        <v>0</v>
      </c>
    </row>
    <row r="86" spans="1:15" ht="12.75" customHeight="1" x14ac:dyDescent="0.2">
      <c r="A86" s="63" t="s">
        <v>56</v>
      </c>
      <c r="B86" s="202" t="s">
        <v>134</v>
      </c>
      <c r="C86" s="202"/>
      <c r="D86" s="202"/>
      <c r="E86" s="202"/>
      <c r="F86" s="202"/>
      <c r="G86" s="203"/>
      <c r="H86" s="67">
        <v>540</v>
      </c>
      <c r="I86" s="67">
        <f t="shared" si="35"/>
        <v>550.79999999999995</v>
      </c>
      <c r="J86" s="67">
        <f t="shared" si="35"/>
        <v>561.81599999999992</v>
      </c>
      <c r="K86" s="67">
        <f t="shared" si="35"/>
        <v>573.0523199999999</v>
      </c>
      <c r="L86" s="67">
        <f t="shared" si="35"/>
        <v>584.51336639999988</v>
      </c>
      <c r="M86" s="67">
        <f t="shared" si="35"/>
        <v>596.20363372799989</v>
      </c>
      <c r="N86" s="67">
        <f t="shared" si="35"/>
        <v>608.12770640255985</v>
      </c>
    </row>
    <row r="87" spans="1:15" ht="12.75" customHeight="1" x14ac:dyDescent="0.2">
      <c r="A87" s="63" t="s">
        <v>81</v>
      </c>
      <c r="B87" s="202" t="s">
        <v>135</v>
      </c>
      <c r="C87" s="202"/>
      <c r="D87" s="202"/>
      <c r="E87" s="202"/>
      <c r="F87" s="202"/>
      <c r="G87" s="203"/>
      <c r="H87" s="67">
        <v>1000</v>
      </c>
      <c r="I87" s="67">
        <f t="shared" si="35"/>
        <v>1020</v>
      </c>
      <c r="J87" s="67">
        <f t="shared" si="35"/>
        <v>1040.4000000000001</v>
      </c>
      <c r="K87" s="67">
        <f t="shared" si="35"/>
        <v>1061.2080000000001</v>
      </c>
      <c r="L87" s="67">
        <f t="shared" si="35"/>
        <v>1082.4321600000001</v>
      </c>
      <c r="M87" s="67">
        <f t="shared" si="35"/>
        <v>1104.0808032</v>
      </c>
      <c r="N87" s="67">
        <f t="shared" si="35"/>
        <v>1126.1624192639999</v>
      </c>
    </row>
    <row r="88" spans="1:15" x14ac:dyDescent="0.2">
      <c r="A88" s="70"/>
      <c r="B88" s="204" t="s">
        <v>136</v>
      </c>
      <c r="C88" s="204"/>
      <c r="D88" s="204"/>
      <c r="E88" s="204"/>
      <c r="F88" s="204"/>
      <c r="G88" s="205"/>
      <c r="H88" s="71">
        <f t="shared" ref="H88" si="36">SUM(H83:H87)</f>
        <v>2040</v>
      </c>
      <c r="I88" s="71">
        <f t="shared" ref="I88:N88" si="37">SUM(I83:I87)</f>
        <v>2080.8000000000002</v>
      </c>
      <c r="J88" s="71">
        <f t="shared" si="37"/>
        <v>2122.4160000000002</v>
      </c>
      <c r="K88" s="71">
        <f t="shared" si="37"/>
        <v>2164.8643200000001</v>
      </c>
      <c r="L88" s="71">
        <f t="shared" si="37"/>
        <v>2208.1616064</v>
      </c>
      <c r="M88" s="71">
        <f t="shared" si="37"/>
        <v>2252.3248385279999</v>
      </c>
      <c r="N88" s="71">
        <f t="shared" si="37"/>
        <v>2297.3713352985596</v>
      </c>
    </row>
    <row r="89" spans="1:15" x14ac:dyDescent="0.2">
      <c r="A89" s="98"/>
      <c r="J89" s="99"/>
      <c r="K89" s="100"/>
      <c r="L89" s="100"/>
      <c r="M89" s="100"/>
      <c r="N89" s="100"/>
    </row>
    <row r="90" spans="1:15" x14ac:dyDescent="0.2">
      <c r="G90" s="55" t="s">
        <v>137</v>
      </c>
      <c r="H90" s="101">
        <f t="shared" ref="H90:M90" si="38">H7+H12+H13+H14+H15+H19+H20+H21+H26+H27+H28+H29+H30+H32+H39+H46+H52+H53+H54+H55+H56+H60+H68+H69+H79+H80+H81+H82+H88+H31</f>
        <v>3090043.5795312002</v>
      </c>
      <c r="I90" s="101">
        <f t="shared" si="38"/>
        <v>3704261.1440412304</v>
      </c>
      <c r="J90" s="101">
        <f t="shared" si="38"/>
        <v>4011415.3979224609</v>
      </c>
      <c r="K90" s="101">
        <f t="shared" si="38"/>
        <v>4257711.4360510772</v>
      </c>
      <c r="L90" s="101">
        <f t="shared" si="38"/>
        <v>4458179.9249006566</v>
      </c>
      <c r="M90" s="101">
        <f t="shared" si="38"/>
        <v>4635499.0457268199</v>
      </c>
      <c r="N90" s="101">
        <f>N7+N12+N13+N14+N15+N19+N20+N21+N26+N27+N28+N29+N30+N32+N39+N46+N52+N53+N54+N55+N56+N60+N68+N69+N79+N80+N81+N82+N88+N31</f>
        <v>4783359.5033886442</v>
      </c>
    </row>
    <row r="91" spans="1:15" x14ac:dyDescent="0.2">
      <c r="G91" s="167" t="s">
        <v>242</v>
      </c>
      <c r="H91" s="168">
        <v>300000</v>
      </c>
      <c r="I91" s="168">
        <v>300000</v>
      </c>
      <c r="J91" s="168">
        <v>300000</v>
      </c>
      <c r="K91" s="168">
        <v>300000</v>
      </c>
      <c r="L91" s="168">
        <v>300000</v>
      </c>
      <c r="M91" s="168">
        <v>300000</v>
      </c>
      <c r="N91" s="168">
        <v>300000</v>
      </c>
    </row>
    <row r="92" spans="1:15" x14ac:dyDescent="0.2">
      <c r="G92" s="55" t="s">
        <v>243</v>
      </c>
      <c r="H92" s="169">
        <f>SUM(H90-H91)</f>
        <v>2790043.5795312002</v>
      </c>
      <c r="I92" s="169">
        <f t="shared" ref="I92:N92" si="39">SUM(I90-I91)</f>
        <v>3404261.1440412304</v>
      </c>
      <c r="J92" s="169">
        <f t="shared" si="39"/>
        <v>3711415.3979224609</v>
      </c>
      <c r="K92" s="169">
        <f t="shared" si="39"/>
        <v>3957711.4360510772</v>
      </c>
      <c r="L92" s="169">
        <f t="shared" si="39"/>
        <v>4158179.9249006566</v>
      </c>
      <c r="M92" s="169">
        <f t="shared" si="39"/>
        <v>4335499.0457268199</v>
      </c>
      <c r="N92" s="169">
        <f t="shared" si="39"/>
        <v>4483359.5033886442</v>
      </c>
    </row>
    <row r="93" spans="1:15" x14ac:dyDescent="0.2">
      <c r="J93" s="74"/>
      <c r="K93" s="74"/>
      <c r="L93" s="72"/>
      <c r="M93" s="72"/>
      <c r="N93" s="72"/>
    </row>
    <row r="94" spans="1:15" ht="15" x14ac:dyDescent="0.35">
      <c r="H94" s="74"/>
      <c r="I94" s="74"/>
      <c r="J94" s="102"/>
      <c r="K94" s="72"/>
    </row>
    <row r="95" spans="1:15" ht="15" x14ac:dyDescent="0.35">
      <c r="J95" s="103"/>
    </row>
    <row r="96" spans="1:15" x14ac:dyDescent="0.2">
      <c r="L96" s="74"/>
      <c r="M96" s="74"/>
      <c r="N96" s="74"/>
    </row>
    <row r="98" spans="11:14" x14ac:dyDescent="0.2">
      <c r="K98" s="72"/>
    </row>
    <row r="100" spans="11:14" x14ac:dyDescent="0.2">
      <c r="L100" s="72"/>
      <c r="M100" s="72"/>
      <c r="N100" s="72"/>
    </row>
  </sheetData>
  <mergeCells count="107">
    <mergeCell ref="B7:G7"/>
    <mergeCell ref="B8:G8"/>
    <mergeCell ref="B9:G9"/>
    <mergeCell ref="B10:G10"/>
    <mergeCell ref="B11:G11"/>
    <mergeCell ref="B12:G12"/>
    <mergeCell ref="B13:G13"/>
    <mergeCell ref="B3:G3"/>
    <mergeCell ref="B4:G4"/>
    <mergeCell ref="B5:G5"/>
    <mergeCell ref="B6:G6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B32:G32"/>
    <mergeCell ref="B33:G33"/>
    <mergeCell ref="B34:G34"/>
    <mergeCell ref="B35:G35"/>
    <mergeCell ref="B36:G36"/>
    <mergeCell ref="B37:G37"/>
    <mergeCell ref="B26:G26"/>
    <mergeCell ref="B27:G27"/>
    <mergeCell ref="B28:G28"/>
    <mergeCell ref="B29:G29"/>
    <mergeCell ref="B30:G30"/>
    <mergeCell ref="B31:G31"/>
    <mergeCell ref="B44:G44"/>
    <mergeCell ref="B45:G45"/>
    <mergeCell ref="B46:G46"/>
    <mergeCell ref="B47:G47"/>
    <mergeCell ref="B48:G48"/>
    <mergeCell ref="B49:G49"/>
    <mergeCell ref="B38:G38"/>
    <mergeCell ref="B39:G39"/>
    <mergeCell ref="B40:G40"/>
    <mergeCell ref="B41:G41"/>
    <mergeCell ref="B42:G42"/>
    <mergeCell ref="B43:G43"/>
    <mergeCell ref="B56:G56"/>
    <mergeCell ref="B57:G57"/>
    <mergeCell ref="B58:G58"/>
    <mergeCell ref="U58:Z58"/>
    <mergeCell ref="AG58:AL58"/>
    <mergeCell ref="AS58:AX58"/>
    <mergeCell ref="B50:G50"/>
    <mergeCell ref="B51:G51"/>
    <mergeCell ref="B52:G52"/>
    <mergeCell ref="B53:G53"/>
    <mergeCell ref="B54:G54"/>
    <mergeCell ref="B55:G55"/>
    <mergeCell ref="IC58:IH58"/>
    <mergeCell ref="IO58:IQ58"/>
    <mergeCell ref="B59:G59"/>
    <mergeCell ref="DY58:ED58"/>
    <mergeCell ref="EK58:EP58"/>
    <mergeCell ref="EW58:FB58"/>
    <mergeCell ref="FI58:FN58"/>
    <mergeCell ref="FU58:FZ58"/>
    <mergeCell ref="GG58:GL58"/>
    <mergeCell ref="BE58:BJ58"/>
    <mergeCell ref="BQ58:BV58"/>
    <mergeCell ref="CC58:CH58"/>
    <mergeCell ref="CO58:CT58"/>
    <mergeCell ref="DA58:DF58"/>
    <mergeCell ref="DM58:DR58"/>
    <mergeCell ref="B60:G60"/>
    <mergeCell ref="B61:G61"/>
    <mergeCell ref="B62:G62"/>
    <mergeCell ref="B63:G63"/>
    <mergeCell ref="B64:G64"/>
    <mergeCell ref="B65:G65"/>
    <mergeCell ref="GS58:GX58"/>
    <mergeCell ref="HE58:HJ58"/>
    <mergeCell ref="HQ58:HV58"/>
    <mergeCell ref="B84:G84"/>
    <mergeCell ref="B85:G85"/>
    <mergeCell ref="B86:G86"/>
    <mergeCell ref="B87:G87"/>
    <mergeCell ref="B88:G88"/>
    <mergeCell ref="H1:L2"/>
    <mergeCell ref="B78:G78"/>
    <mergeCell ref="B79:G79"/>
    <mergeCell ref="B80:G80"/>
    <mergeCell ref="B81:G81"/>
    <mergeCell ref="B82:G82"/>
    <mergeCell ref="B83:G83"/>
    <mergeCell ref="B72:G72"/>
    <mergeCell ref="B73:G73"/>
    <mergeCell ref="B74:G74"/>
    <mergeCell ref="B75:G75"/>
    <mergeCell ref="B76:G76"/>
    <mergeCell ref="B77:G77"/>
    <mergeCell ref="B66:G66"/>
    <mergeCell ref="B67:G67"/>
    <mergeCell ref="B68:G68"/>
    <mergeCell ref="B69:G69"/>
    <mergeCell ref="B70:G70"/>
    <mergeCell ref="B71:G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0"/>
  <sheetViews>
    <sheetView zoomScale="85" zoomScaleNormal="85" workbookViewId="0">
      <selection activeCell="O1" sqref="O1:O1048576"/>
    </sheetView>
  </sheetViews>
  <sheetFormatPr defaultRowHeight="12.75" x14ac:dyDescent="0.2"/>
  <cols>
    <col min="1" max="1" width="6" style="54" customWidth="1"/>
    <col min="2" max="2" width="12.28515625" style="54" customWidth="1"/>
    <col min="3" max="4" width="9.140625" style="54"/>
    <col min="5" max="5" width="5" style="54" bestFit="1" customWidth="1"/>
    <col min="6" max="6" width="9.140625" style="54"/>
    <col min="7" max="7" width="35.140625" style="54" customWidth="1"/>
    <col min="8" max="8" width="15.85546875" style="54" customWidth="1"/>
    <col min="9" max="9" width="15.140625" style="54" customWidth="1"/>
    <col min="10" max="11" width="14.42578125" style="54" customWidth="1"/>
    <col min="12" max="12" width="15.140625" style="54" customWidth="1"/>
    <col min="13" max="13" width="15.7109375" style="54" customWidth="1"/>
    <col min="14" max="14" width="15.5703125" style="54" customWidth="1"/>
    <col min="15" max="255" width="9.140625" style="54"/>
    <col min="256" max="256" width="6.42578125" style="54" bestFit="1" customWidth="1"/>
    <col min="257" max="257" width="12.28515625" style="54" customWidth="1"/>
    <col min="258" max="259" width="9.140625" style="54"/>
    <col min="260" max="260" width="5" style="54" bestFit="1" customWidth="1"/>
    <col min="261" max="261" width="9.140625" style="54"/>
    <col min="262" max="262" width="22" style="54" customWidth="1"/>
    <col min="263" max="263" width="12.85546875" style="54" bestFit="1" customWidth="1"/>
    <col min="264" max="266" width="12.85546875" style="54" customWidth="1"/>
    <col min="267" max="267" width="11.28515625" style="54" bestFit="1" customWidth="1"/>
    <col min="268" max="268" width="13.7109375" style="54" customWidth="1"/>
    <col min="269" max="269" width="13.28515625" style="54" bestFit="1" customWidth="1"/>
    <col min="270" max="270" width="12.140625" style="54" bestFit="1" customWidth="1"/>
    <col min="271" max="511" width="9.140625" style="54"/>
    <col min="512" max="512" width="6.42578125" style="54" bestFit="1" customWidth="1"/>
    <col min="513" max="513" width="12.28515625" style="54" customWidth="1"/>
    <col min="514" max="515" width="9.140625" style="54"/>
    <col min="516" max="516" width="5" style="54" bestFit="1" customWidth="1"/>
    <col min="517" max="517" width="9.140625" style="54"/>
    <col min="518" max="518" width="22" style="54" customWidth="1"/>
    <col min="519" max="519" width="12.85546875" style="54" bestFit="1" customWidth="1"/>
    <col min="520" max="522" width="12.85546875" style="54" customWidth="1"/>
    <col min="523" max="523" width="11.28515625" style="54" bestFit="1" customWidth="1"/>
    <col min="524" max="524" width="13.7109375" style="54" customWidth="1"/>
    <col min="525" max="525" width="13.28515625" style="54" bestFit="1" customWidth="1"/>
    <col min="526" max="526" width="12.140625" style="54" bestFit="1" customWidth="1"/>
    <col min="527" max="767" width="9.140625" style="54"/>
    <col min="768" max="768" width="6.42578125" style="54" bestFit="1" customWidth="1"/>
    <col min="769" max="769" width="12.28515625" style="54" customWidth="1"/>
    <col min="770" max="771" width="9.140625" style="54"/>
    <col min="772" max="772" width="5" style="54" bestFit="1" customWidth="1"/>
    <col min="773" max="773" width="9.140625" style="54"/>
    <col min="774" max="774" width="22" style="54" customWidth="1"/>
    <col min="775" max="775" width="12.85546875" style="54" bestFit="1" customWidth="1"/>
    <col min="776" max="778" width="12.85546875" style="54" customWidth="1"/>
    <col min="779" max="779" width="11.28515625" style="54" bestFit="1" customWidth="1"/>
    <col min="780" max="780" width="13.7109375" style="54" customWidth="1"/>
    <col min="781" max="781" width="13.28515625" style="54" bestFit="1" customWidth="1"/>
    <col min="782" max="782" width="12.140625" style="54" bestFit="1" customWidth="1"/>
    <col min="783" max="1023" width="9.140625" style="54"/>
    <col min="1024" max="1024" width="6.42578125" style="54" bestFit="1" customWidth="1"/>
    <col min="1025" max="1025" width="12.28515625" style="54" customWidth="1"/>
    <col min="1026" max="1027" width="9.140625" style="54"/>
    <col min="1028" max="1028" width="5" style="54" bestFit="1" customWidth="1"/>
    <col min="1029" max="1029" width="9.140625" style="54"/>
    <col min="1030" max="1030" width="22" style="54" customWidth="1"/>
    <col min="1031" max="1031" width="12.85546875" style="54" bestFit="1" customWidth="1"/>
    <col min="1032" max="1034" width="12.85546875" style="54" customWidth="1"/>
    <col min="1035" max="1035" width="11.28515625" style="54" bestFit="1" customWidth="1"/>
    <col min="1036" max="1036" width="13.7109375" style="54" customWidth="1"/>
    <col min="1037" max="1037" width="13.28515625" style="54" bestFit="1" customWidth="1"/>
    <col min="1038" max="1038" width="12.140625" style="54" bestFit="1" customWidth="1"/>
    <col min="1039" max="1279" width="9.140625" style="54"/>
    <col min="1280" max="1280" width="6.42578125" style="54" bestFit="1" customWidth="1"/>
    <col min="1281" max="1281" width="12.28515625" style="54" customWidth="1"/>
    <col min="1282" max="1283" width="9.140625" style="54"/>
    <col min="1284" max="1284" width="5" style="54" bestFit="1" customWidth="1"/>
    <col min="1285" max="1285" width="9.140625" style="54"/>
    <col min="1286" max="1286" width="22" style="54" customWidth="1"/>
    <col min="1287" max="1287" width="12.85546875" style="54" bestFit="1" customWidth="1"/>
    <col min="1288" max="1290" width="12.85546875" style="54" customWidth="1"/>
    <col min="1291" max="1291" width="11.28515625" style="54" bestFit="1" customWidth="1"/>
    <col min="1292" max="1292" width="13.7109375" style="54" customWidth="1"/>
    <col min="1293" max="1293" width="13.28515625" style="54" bestFit="1" customWidth="1"/>
    <col min="1294" max="1294" width="12.140625" style="54" bestFit="1" customWidth="1"/>
    <col min="1295" max="1535" width="9.140625" style="54"/>
    <col min="1536" max="1536" width="6.42578125" style="54" bestFit="1" customWidth="1"/>
    <col min="1537" max="1537" width="12.28515625" style="54" customWidth="1"/>
    <col min="1538" max="1539" width="9.140625" style="54"/>
    <col min="1540" max="1540" width="5" style="54" bestFit="1" customWidth="1"/>
    <col min="1541" max="1541" width="9.140625" style="54"/>
    <col min="1542" max="1542" width="22" style="54" customWidth="1"/>
    <col min="1543" max="1543" width="12.85546875" style="54" bestFit="1" customWidth="1"/>
    <col min="1544" max="1546" width="12.85546875" style="54" customWidth="1"/>
    <col min="1547" max="1547" width="11.28515625" style="54" bestFit="1" customWidth="1"/>
    <col min="1548" max="1548" width="13.7109375" style="54" customWidth="1"/>
    <col min="1549" max="1549" width="13.28515625" style="54" bestFit="1" customWidth="1"/>
    <col min="1550" max="1550" width="12.140625" style="54" bestFit="1" customWidth="1"/>
    <col min="1551" max="1791" width="9.140625" style="54"/>
    <col min="1792" max="1792" width="6.42578125" style="54" bestFit="1" customWidth="1"/>
    <col min="1793" max="1793" width="12.28515625" style="54" customWidth="1"/>
    <col min="1794" max="1795" width="9.140625" style="54"/>
    <col min="1796" max="1796" width="5" style="54" bestFit="1" customWidth="1"/>
    <col min="1797" max="1797" width="9.140625" style="54"/>
    <col min="1798" max="1798" width="22" style="54" customWidth="1"/>
    <col min="1799" max="1799" width="12.85546875" style="54" bestFit="1" customWidth="1"/>
    <col min="1800" max="1802" width="12.85546875" style="54" customWidth="1"/>
    <col min="1803" max="1803" width="11.28515625" style="54" bestFit="1" customWidth="1"/>
    <col min="1804" max="1804" width="13.7109375" style="54" customWidth="1"/>
    <col min="1805" max="1805" width="13.28515625" style="54" bestFit="1" customWidth="1"/>
    <col min="1806" max="1806" width="12.140625" style="54" bestFit="1" customWidth="1"/>
    <col min="1807" max="2047" width="9.140625" style="54"/>
    <col min="2048" max="2048" width="6.42578125" style="54" bestFit="1" customWidth="1"/>
    <col min="2049" max="2049" width="12.28515625" style="54" customWidth="1"/>
    <col min="2050" max="2051" width="9.140625" style="54"/>
    <col min="2052" max="2052" width="5" style="54" bestFit="1" customWidth="1"/>
    <col min="2053" max="2053" width="9.140625" style="54"/>
    <col min="2054" max="2054" width="22" style="54" customWidth="1"/>
    <col min="2055" max="2055" width="12.85546875" style="54" bestFit="1" customWidth="1"/>
    <col min="2056" max="2058" width="12.85546875" style="54" customWidth="1"/>
    <col min="2059" max="2059" width="11.28515625" style="54" bestFit="1" customWidth="1"/>
    <col min="2060" max="2060" width="13.7109375" style="54" customWidth="1"/>
    <col min="2061" max="2061" width="13.28515625" style="54" bestFit="1" customWidth="1"/>
    <col min="2062" max="2062" width="12.140625" style="54" bestFit="1" customWidth="1"/>
    <col min="2063" max="2303" width="9.140625" style="54"/>
    <col min="2304" max="2304" width="6.42578125" style="54" bestFit="1" customWidth="1"/>
    <col min="2305" max="2305" width="12.28515625" style="54" customWidth="1"/>
    <col min="2306" max="2307" width="9.140625" style="54"/>
    <col min="2308" max="2308" width="5" style="54" bestFit="1" customWidth="1"/>
    <col min="2309" max="2309" width="9.140625" style="54"/>
    <col min="2310" max="2310" width="22" style="54" customWidth="1"/>
    <col min="2311" max="2311" width="12.85546875" style="54" bestFit="1" customWidth="1"/>
    <col min="2312" max="2314" width="12.85546875" style="54" customWidth="1"/>
    <col min="2315" max="2315" width="11.28515625" style="54" bestFit="1" customWidth="1"/>
    <col min="2316" max="2316" width="13.7109375" style="54" customWidth="1"/>
    <col min="2317" max="2317" width="13.28515625" style="54" bestFit="1" customWidth="1"/>
    <col min="2318" max="2318" width="12.140625" style="54" bestFit="1" customWidth="1"/>
    <col min="2319" max="2559" width="9.140625" style="54"/>
    <col min="2560" max="2560" width="6.42578125" style="54" bestFit="1" customWidth="1"/>
    <col min="2561" max="2561" width="12.28515625" style="54" customWidth="1"/>
    <col min="2562" max="2563" width="9.140625" style="54"/>
    <col min="2564" max="2564" width="5" style="54" bestFit="1" customWidth="1"/>
    <col min="2565" max="2565" width="9.140625" style="54"/>
    <col min="2566" max="2566" width="22" style="54" customWidth="1"/>
    <col min="2567" max="2567" width="12.85546875" style="54" bestFit="1" customWidth="1"/>
    <col min="2568" max="2570" width="12.85546875" style="54" customWidth="1"/>
    <col min="2571" max="2571" width="11.28515625" style="54" bestFit="1" customWidth="1"/>
    <col min="2572" max="2572" width="13.7109375" style="54" customWidth="1"/>
    <col min="2573" max="2573" width="13.28515625" style="54" bestFit="1" customWidth="1"/>
    <col min="2574" max="2574" width="12.140625" style="54" bestFit="1" customWidth="1"/>
    <col min="2575" max="2815" width="9.140625" style="54"/>
    <col min="2816" max="2816" width="6.42578125" style="54" bestFit="1" customWidth="1"/>
    <col min="2817" max="2817" width="12.28515625" style="54" customWidth="1"/>
    <col min="2818" max="2819" width="9.140625" style="54"/>
    <col min="2820" max="2820" width="5" style="54" bestFit="1" customWidth="1"/>
    <col min="2821" max="2821" width="9.140625" style="54"/>
    <col min="2822" max="2822" width="22" style="54" customWidth="1"/>
    <col min="2823" max="2823" width="12.85546875" style="54" bestFit="1" customWidth="1"/>
    <col min="2824" max="2826" width="12.85546875" style="54" customWidth="1"/>
    <col min="2827" max="2827" width="11.28515625" style="54" bestFit="1" customWidth="1"/>
    <col min="2828" max="2828" width="13.7109375" style="54" customWidth="1"/>
    <col min="2829" max="2829" width="13.28515625" style="54" bestFit="1" customWidth="1"/>
    <col min="2830" max="2830" width="12.140625" style="54" bestFit="1" customWidth="1"/>
    <col min="2831" max="3071" width="9.140625" style="54"/>
    <col min="3072" max="3072" width="6.42578125" style="54" bestFit="1" customWidth="1"/>
    <col min="3073" max="3073" width="12.28515625" style="54" customWidth="1"/>
    <col min="3074" max="3075" width="9.140625" style="54"/>
    <col min="3076" max="3076" width="5" style="54" bestFit="1" customWidth="1"/>
    <col min="3077" max="3077" width="9.140625" style="54"/>
    <col min="3078" max="3078" width="22" style="54" customWidth="1"/>
    <col min="3079" max="3079" width="12.85546875" style="54" bestFit="1" customWidth="1"/>
    <col min="3080" max="3082" width="12.85546875" style="54" customWidth="1"/>
    <col min="3083" max="3083" width="11.28515625" style="54" bestFit="1" customWidth="1"/>
    <col min="3084" max="3084" width="13.7109375" style="54" customWidth="1"/>
    <col min="3085" max="3085" width="13.28515625" style="54" bestFit="1" customWidth="1"/>
    <col min="3086" max="3086" width="12.140625" style="54" bestFit="1" customWidth="1"/>
    <col min="3087" max="3327" width="9.140625" style="54"/>
    <col min="3328" max="3328" width="6.42578125" style="54" bestFit="1" customWidth="1"/>
    <col min="3329" max="3329" width="12.28515625" style="54" customWidth="1"/>
    <col min="3330" max="3331" width="9.140625" style="54"/>
    <col min="3332" max="3332" width="5" style="54" bestFit="1" customWidth="1"/>
    <col min="3333" max="3333" width="9.140625" style="54"/>
    <col min="3334" max="3334" width="22" style="54" customWidth="1"/>
    <col min="3335" max="3335" width="12.85546875" style="54" bestFit="1" customWidth="1"/>
    <col min="3336" max="3338" width="12.85546875" style="54" customWidth="1"/>
    <col min="3339" max="3339" width="11.28515625" style="54" bestFit="1" customWidth="1"/>
    <col min="3340" max="3340" width="13.7109375" style="54" customWidth="1"/>
    <col min="3341" max="3341" width="13.28515625" style="54" bestFit="1" customWidth="1"/>
    <col min="3342" max="3342" width="12.140625" style="54" bestFit="1" customWidth="1"/>
    <col min="3343" max="3583" width="9.140625" style="54"/>
    <col min="3584" max="3584" width="6.42578125" style="54" bestFit="1" customWidth="1"/>
    <col min="3585" max="3585" width="12.28515625" style="54" customWidth="1"/>
    <col min="3586" max="3587" width="9.140625" style="54"/>
    <col min="3588" max="3588" width="5" style="54" bestFit="1" customWidth="1"/>
    <col min="3589" max="3589" width="9.140625" style="54"/>
    <col min="3590" max="3590" width="22" style="54" customWidth="1"/>
    <col min="3591" max="3591" width="12.85546875" style="54" bestFit="1" customWidth="1"/>
    <col min="3592" max="3594" width="12.85546875" style="54" customWidth="1"/>
    <col min="3595" max="3595" width="11.28515625" style="54" bestFit="1" customWidth="1"/>
    <col min="3596" max="3596" width="13.7109375" style="54" customWidth="1"/>
    <col min="3597" max="3597" width="13.28515625" style="54" bestFit="1" customWidth="1"/>
    <col min="3598" max="3598" width="12.140625" style="54" bestFit="1" customWidth="1"/>
    <col min="3599" max="3839" width="9.140625" style="54"/>
    <col min="3840" max="3840" width="6.42578125" style="54" bestFit="1" customWidth="1"/>
    <col min="3841" max="3841" width="12.28515625" style="54" customWidth="1"/>
    <col min="3842" max="3843" width="9.140625" style="54"/>
    <col min="3844" max="3844" width="5" style="54" bestFit="1" customWidth="1"/>
    <col min="3845" max="3845" width="9.140625" style="54"/>
    <col min="3846" max="3846" width="22" style="54" customWidth="1"/>
    <col min="3847" max="3847" width="12.85546875" style="54" bestFit="1" customWidth="1"/>
    <col min="3848" max="3850" width="12.85546875" style="54" customWidth="1"/>
    <col min="3851" max="3851" width="11.28515625" style="54" bestFit="1" customWidth="1"/>
    <col min="3852" max="3852" width="13.7109375" style="54" customWidth="1"/>
    <col min="3853" max="3853" width="13.28515625" style="54" bestFit="1" customWidth="1"/>
    <col min="3854" max="3854" width="12.140625" style="54" bestFit="1" customWidth="1"/>
    <col min="3855" max="4095" width="9.140625" style="54"/>
    <col min="4096" max="4096" width="6.42578125" style="54" bestFit="1" customWidth="1"/>
    <col min="4097" max="4097" width="12.28515625" style="54" customWidth="1"/>
    <col min="4098" max="4099" width="9.140625" style="54"/>
    <col min="4100" max="4100" width="5" style="54" bestFit="1" customWidth="1"/>
    <col min="4101" max="4101" width="9.140625" style="54"/>
    <col min="4102" max="4102" width="22" style="54" customWidth="1"/>
    <col min="4103" max="4103" width="12.85546875" style="54" bestFit="1" customWidth="1"/>
    <col min="4104" max="4106" width="12.85546875" style="54" customWidth="1"/>
    <col min="4107" max="4107" width="11.28515625" style="54" bestFit="1" customWidth="1"/>
    <col min="4108" max="4108" width="13.7109375" style="54" customWidth="1"/>
    <col min="4109" max="4109" width="13.28515625" style="54" bestFit="1" customWidth="1"/>
    <col min="4110" max="4110" width="12.140625" style="54" bestFit="1" customWidth="1"/>
    <col min="4111" max="4351" width="9.140625" style="54"/>
    <col min="4352" max="4352" width="6.42578125" style="54" bestFit="1" customWidth="1"/>
    <col min="4353" max="4353" width="12.28515625" style="54" customWidth="1"/>
    <col min="4354" max="4355" width="9.140625" style="54"/>
    <col min="4356" max="4356" width="5" style="54" bestFit="1" customWidth="1"/>
    <col min="4357" max="4357" width="9.140625" style="54"/>
    <col min="4358" max="4358" width="22" style="54" customWidth="1"/>
    <col min="4359" max="4359" width="12.85546875" style="54" bestFit="1" customWidth="1"/>
    <col min="4360" max="4362" width="12.85546875" style="54" customWidth="1"/>
    <col min="4363" max="4363" width="11.28515625" style="54" bestFit="1" customWidth="1"/>
    <col min="4364" max="4364" width="13.7109375" style="54" customWidth="1"/>
    <col min="4365" max="4365" width="13.28515625" style="54" bestFit="1" customWidth="1"/>
    <col min="4366" max="4366" width="12.140625" style="54" bestFit="1" customWidth="1"/>
    <col min="4367" max="4607" width="9.140625" style="54"/>
    <col min="4608" max="4608" width="6.42578125" style="54" bestFit="1" customWidth="1"/>
    <col min="4609" max="4609" width="12.28515625" style="54" customWidth="1"/>
    <col min="4610" max="4611" width="9.140625" style="54"/>
    <col min="4612" max="4612" width="5" style="54" bestFit="1" customWidth="1"/>
    <col min="4613" max="4613" width="9.140625" style="54"/>
    <col min="4614" max="4614" width="22" style="54" customWidth="1"/>
    <col min="4615" max="4615" width="12.85546875" style="54" bestFit="1" customWidth="1"/>
    <col min="4616" max="4618" width="12.85546875" style="54" customWidth="1"/>
    <col min="4619" max="4619" width="11.28515625" style="54" bestFit="1" customWidth="1"/>
    <col min="4620" max="4620" width="13.7109375" style="54" customWidth="1"/>
    <col min="4621" max="4621" width="13.28515625" style="54" bestFit="1" customWidth="1"/>
    <col min="4622" max="4622" width="12.140625" style="54" bestFit="1" customWidth="1"/>
    <col min="4623" max="4863" width="9.140625" style="54"/>
    <col min="4864" max="4864" width="6.42578125" style="54" bestFit="1" customWidth="1"/>
    <col min="4865" max="4865" width="12.28515625" style="54" customWidth="1"/>
    <col min="4866" max="4867" width="9.140625" style="54"/>
    <col min="4868" max="4868" width="5" style="54" bestFit="1" customWidth="1"/>
    <col min="4869" max="4869" width="9.140625" style="54"/>
    <col min="4870" max="4870" width="22" style="54" customWidth="1"/>
    <col min="4871" max="4871" width="12.85546875" style="54" bestFit="1" customWidth="1"/>
    <col min="4872" max="4874" width="12.85546875" style="54" customWidth="1"/>
    <col min="4875" max="4875" width="11.28515625" style="54" bestFit="1" customWidth="1"/>
    <col min="4876" max="4876" width="13.7109375" style="54" customWidth="1"/>
    <col min="4877" max="4877" width="13.28515625" style="54" bestFit="1" customWidth="1"/>
    <col min="4878" max="4878" width="12.140625" style="54" bestFit="1" customWidth="1"/>
    <col min="4879" max="5119" width="9.140625" style="54"/>
    <col min="5120" max="5120" width="6.42578125" style="54" bestFit="1" customWidth="1"/>
    <col min="5121" max="5121" width="12.28515625" style="54" customWidth="1"/>
    <col min="5122" max="5123" width="9.140625" style="54"/>
    <col min="5124" max="5124" width="5" style="54" bestFit="1" customWidth="1"/>
    <col min="5125" max="5125" width="9.140625" style="54"/>
    <col min="5126" max="5126" width="22" style="54" customWidth="1"/>
    <col min="5127" max="5127" width="12.85546875" style="54" bestFit="1" customWidth="1"/>
    <col min="5128" max="5130" width="12.85546875" style="54" customWidth="1"/>
    <col min="5131" max="5131" width="11.28515625" style="54" bestFit="1" customWidth="1"/>
    <col min="5132" max="5132" width="13.7109375" style="54" customWidth="1"/>
    <col min="5133" max="5133" width="13.28515625" style="54" bestFit="1" customWidth="1"/>
    <col min="5134" max="5134" width="12.140625" style="54" bestFit="1" customWidth="1"/>
    <col min="5135" max="5375" width="9.140625" style="54"/>
    <col min="5376" max="5376" width="6.42578125" style="54" bestFit="1" customWidth="1"/>
    <col min="5377" max="5377" width="12.28515625" style="54" customWidth="1"/>
    <col min="5378" max="5379" width="9.140625" style="54"/>
    <col min="5380" max="5380" width="5" style="54" bestFit="1" customWidth="1"/>
    <col min="5381" max="5381" width="9.140625" style="54"/>
    <col min="5382" max="5382" width="22" style="54" customWidth="1"/>
    <col min="5383" max="5383" width="12.85546875" style="54" bestFit="1" customWidth="1"/>
    <col min="5384" max="5386" width="12.85546875" style="54" customWidth="1"/>
    <col min="5387" max="5387" width="11.28515625" style="54" bestFit="1" customWidth="1"/>
    <col min="5388" max="5388" width="13.7109375" style="54" customWidth="1"/>
    <col min="5389" max="5389" width="13.28515625" style="54" bestFit="1" customWidth="1"/>
    <col min="5390" max="5390" width="12.140625" style="54" bestFit="1" customWidth="1"/>
    <col min="5391" max="5631" width="9.140625" style="54"/>
    <col min="5632" max="5632" width="6.42578125" style="54" bestFit="1" customWidth="1"/>
    <col min="5633" max="5633" width="12.28515625" style="54" customWidth="1"/>
    <col min="5634" max="5635" width="9.140625" style="54"/>
    <col min="5636" max="5636" width="5" style="54" bestFit="1" customWidth="1"/>
    <col min="5637" max="5637" width="9.140625" style="54"/>
    <col min="5638" max="5638" width="22" style="54" customWidth="1"/>
    <col min="5639" max="5639" width="12.85546875" style="54" bestFit="1" customWidth="1"/>
    <col min="5640" max="5642" width="12.85546875" style="54" customWidth="1"/>
    <col min="5643" max="5643" width="11.28515625" style="54" bestFit="1" customWidth="1"/>
    <col min="5644" max="5644" width="13.7109375" style="54" customWidth="1"/>
    <col min="5645" max="5645" width="13.28515625" style="54" bestFit="1" customWidth="1"/>
    <col min="5646" max="5646" width="12.140625" style="54" bestFit="1" customWidth="1"/>
    <col min="5647" max="5887" width="9.140625" style="54"/>
    <col min="5888" max="5888" width="6.42578125" style="54" bestFit="1" customWidth="1"/>
    <col min="5889" max="5889" width="12.28515625" style="54" customWidth="1"/>
    <col min="5890" max="5891" width="9.140625" style="54"/>
    <col min="5892" max="5892" width="5" style="54" bestFit="1" customWidth="1"/>
    <col min="5893" max="5893" width="9.140625" style="54"/>
    <col min="5894" max="5894" width="22" style="54" customWidth="1"/>
    <col min="5895" max="5895" width="12.85546875" style="54" bestFit="1" customWidth="1"/>
    <col min="5896" max="5898" width="12.85546875" style="54" customWidth="1"/>
    <col min="5899" max="5899" width="11.28515625" style="54" bestFit="1" customWidth="1"/>
    <col min="5900" max="5900" width="13.7109375" style="54" customWidth="1"/>
    <col min="5901" max="5901" width="13.28515625" style="54" bestFit="1" customWidth="1"/>
    <col min="5902" max="5902" width="12.140625" style="54" bestFit="1" customWidth="1"/>
    <col min="5903" max="6143" width="9.140625" style="54"/>
    <col min="6144" max="6144" width="6.42578125" style="54" bestFit="1" customWidth="1"/>
    <col min="6145" max="6145" width="12.28515625" style="54" customWidth="1"/>
    <col min="6146" max="6147" width="9.140625" style="54"/>
    <col min="6148" max="6148" width="5" style="54" bestFit="1" customWidth="1"/>
    <col min="6149" max="6149" width="9.140625" style="54"/>
    <col min="6150" max="6150" width="22" style="54" customWidth="1"/>
    <col min="6151" max="6151" width="12.85546875" style="54" bestFit="1" customWidth="1"/>
    <col min="6152" max="6154" width="12.85546875" style="54" customWidth="1"/>
    <col min="6155" max="6155" width="11.28515625" style="54" bestFit="1" customWidth="1"/>
    <col min="6156" max="6156" width="13.7109375" style="54" customWidth="1"/>
    <col min="6157" max="6157" width="13.28515625" style="54" bestFit="1" customWidth="1"/>
    <col min="6158" max="6158" width="12.140625" style="54" bestFit="1" customWidth="1"/>
    <col min="6159" max="6399" width="9.140625" style="54"/>
    <col min="6400" max="6400" width="6.42578125" style="54" bestFit="1" customWidth="1"/>
    <col min="6401" max="6401" width="12.28515625" style="54" customWidth="1"/>
    <col min="6402" max="6403" width="9.140625" style="54"/>
    <col min="6404" max="6404" width="5" style="54" bestFit="1" customWidth="1"/>
    <col min="6405" max="6405" width="9.140625" style="54"/>
    <col min="6406" max="6406" width="22" style="54" customWidth="1"/>
    <col min="6407" max="6407" width="12.85546875" style="54" bestFit="1" customWidth="1"/>
    <col min="6408" max="6410" width="12.85546875" style="54" customWidth="1"/>
    <col min="6411" max="6411" width="11.28515625" style="54" bestFit="1" customWidth="1"/>
    <col min="6412" max="6412" width="13.7109375" style="54" customWidth="1"/>
    <col min="6413" max="6413" width="13.28515625" style="54" bestFit="1" customWidth="1"/>
    <col min="6414" max="6414" width="12.140625" style="54" bestFit="1" customWidth="1"/>
    <col min="6415" max="6655" width="9.140625" style="54"/>
    <col min="6656" max="6656" width="6.42578125" style="54" bestFit="1" customWidth="1"/>
    <col min="6657" max="6657" width="12.28515625" style="54" customWidth="1"/>
    <col min="6658" max="6659" width="9.140625" style="54"/>
    <col min="6660" max="6660" width="5" style="54" bestFit="1" customWidth="1"/>
    <col min="6661" max="6661" width="9.140625" style="54"/>
    <col min="6662" max="6662" width="22" style="54" customWidth="1"/>
    <col min="6663" max="6663" width="12.85546875" style="54" bestFit="1" customWidth="1"/>
    <col min="6664" max="6666" width="12.85546875" style="54" customWidth="1"/>
    <col min="6667" max="6667" width="11.28515625" style="54" bestFit="1" customWidth="1"/>
    <col min="6668" max="6668" width="13.7109375" style="54" customWidth="1"/>
    <col min="6669" max="6669" width="13.28515625" style="54" bestFit="1" customWidth="1"/>
    <col min="6670" max="6670" width="12.140625" style="54" bestFit="1" customWidth="1"/>
    <col min="6671" max="6911" width="9.140625" style="54"/>
    <col min="6912" max="6912" width="6.42578125" style="54" bestFit="1" customWidth="1"/>
    <col min="6913" max="6913" width="12.28515625" style="54" customWidth="1"/>
    <col min="6914" max="6915" width="9.140625" style="54"/>
    <col min="6916" max="6916" width="5" style="54" bestFit="1" customWidth="1"/>
    <col min="6917" max="6917" width="9.140625" style="54"/>
    <col min="6918" max="6918" width="22" style="54" customWidth="1"/>
    <col min="6919" max="6919" width="12.85546875" style="54" bestFit="1" customWidth="1"/>
    <col min="6920" max="6922" width="12.85546875" style="54" customWidth="1"/>
    <col min="6923" max="6923" width="11.28515625" style="54" bestFit="1" customWidth="1"/>
    <col min="6924" max="6924" width="13.7109375" style="54" customWidth="1"/>
    <col min="6925" max="6925" width="13.28515625" style="54" bestFit="1" customWidth="1"/>
    <col min="6926" max="6926" width="12.140625" style="54" bestFit="1" customWidth="1"/>
    <col min="6927" max="7167" width="9.140625" style="54"/>
    <col min="7168" max="7168" width="6.42578125" style="54" bestFit="1" customWidth="1"/>
    <col min="7169" max="7169" width="12.28515625" style="54" customWidth="1"/>
    <col min="7170" max="7171" width="9.140625" style="54"/>
    <col min="7172" max="7172" width="5" style="54" bestFit="1" customWidth="1"/>
    <col min="7173" max="7173" width="9.140625" style="54"/>
    <col min="7174" max="7174" width="22" style="54" customWidth="1"/>
    <col min="7175" max="7175" width="12.85546875" style="54" bestFit="1" customWidth="1"/>
    <col min="7176" max="7178" width="12.85546875" style="54" customWidth="1"/>
    <col min="7179" max="7179" width="11.28515625" style="54" bestFit="1" customWidth="1"/>
    <col min="7180" max="7180" width="13.7109375" style="54" customWidth="1"/>
    <col min="7181" max="7181" width="13.28515625" style="54" bestFit="1" customWidth="1"/>
    <col min="7182" max="7182" width="12.140625" style="54" bestFit="1" customWidth="1"/>
    <col min="7183" max="7423" width="9.140625" style="54"/>
    <col min="7424" max="7424" width="6.42578125" style="54" bestFit="1" customWidth="1"/>
    <col min="7425" max="7425" width="12.28515625" style="54" customWidth="1"/>
    <col min="7426" max="7427" width="9.140625" style="54"/>
    <col min="7428" max="7428" width="5" style="54" bestFit="1" customWidth="1"/>
    <col min="7429" max="7429" width="9.140625" style="54"/>
    <col min="7430" max="7430" width="22" style="54" customWidth="1"/>
    <col min="7431" max="7431" width="12.85546875" style="54" bestFit="1" customWidth="1"/>
    <col min="7432" max="7434" width="12.85546875" style="54" customWidth="1"/>
    <col min="7435" max="7435" width="11.28515625" style="54" bestFit="1" customWidth="1"/>
    <col min="7436" max="7436" width="13.7109375" style="54" customWidth="1"/>
    <col min="7437" max="7437" width="13.28515625" style="54" bestFit="1" customWidth="1"/>
    <col min="7438" max="7438" width="12.140625" style="54" bestFit="1" customWidth="1"/>
    <col min="7439" max="7679" width="9.140625" style="54"/>
    <col min="7680" max="7680" width="6.42578125" style="54" bestFit="1" customWidth="1"/>
    <col min="7681" max="7681" width="12.28515625" style="54" customWidth="1"/>
    <col min="7682" max="7683" width="9.140625" style="54"/>
    <col min="7684" max="7684" width="5" style="54" bestFit="1" customWidth="1"/>
    <col min="7685" max="7685" width="9.140625" style="54"/>
    <col min="7686" max="7686" width="22" style="54" customWidth="1"/>
    <col min="7687" max="7687" width="12.85546875" style="54" bestFit="1" customWidth="1"/>
    <col min="7688" max="7690" width="12.85546875" style="54" customWidth="1"/>
    <col min="7691" max="7691" width="11.28515625" style="54" bestFit="1" customWidth="1"/>
    <col min="7692" max="7692" width="13.7109375" style="54" customWidth="1"/>
    <col min="7693" max="7693" width="13.28515625" style="54" bestFit="1" customWidth="1"/>
    <col min="7694" max="7694" width="12.140625" style="54" bestFit="1" customWidth="1"/>
    <col min="7695" max="7935" width="9.140625" style="54"/>
    <col min="7936" max="7936" width="6.42578125" style="54" bestFit="1" customWidth="1"/>
    <col min="7937" max="7937" width="12.28515625" style="54" customWidth="1"/>
    <col min="7938" max="7939" width="9.140625" style="54"/>
    <col min="7940" max="7940" width="5" style="54" bestFit="1" customWidth="1"/>
    <col min="7941" max="7941" width="9.140625" style="54"/>
    <col min="7942" max="7942" width="22" style="54" customWidth="1"/>
    <col min="7943" max="7943" width="12.85546875" style="54" bestFit="1" customWidth="1"/>
    <col min="7944" max="7946" width="12.85546875" style="54" customWidth="1"/>
    <col min="7947" max="7947" width="11.28515625" style="54" bestFit="1" customWidth="1"/>
    <col min="7948" max="7948" width="13.7109375" style="54" customWidth="1"/>
    <col min="7949" max="7949" width="13.28515625" style="54" bestFit="1" customWidth="1"/>
    <col min="7950" max="7950" width="12.140625" style="54" bestFit="1" customWidth="1"/>
    <col min="7951" max="8191" width="9.140625" style="54"/>
    <col min="8192" max="8192" width="6.42578125" style="54" bestFit="1" customWidth="1"/>
    <col min="8193" max="8193" width="12.28515625" style="54" customWidth="1"/>
    <col min="8194" max="8195" width="9.140625" style="54"/>
    <col min="8196" max="8196" width="5" style="54" bestFit="1" customWidth="1"/>
    <col min="8197" max="8197" width="9.140625" style="54"/>
    <col min="8198" max="8198" width="22" style="54" customWidth="1"/>
    <col min="8199" max="8199" width="12.85546875" style="54" bestFit="1" customWidth="1"/>
    <col min="8200" max="8202" width="12.85546875" style="54" customWidth="1"/>
    <col min="8203" max="8203" width="11.28515625" style="54" bestFit="1" customWidth="1"/>
    <col min="8204" max="8204" width="13.7109375" style="54" customWidth="1"/>
    <col min="8205" max="8205" width="13.28515625" style="54" bestFit="1" customWidth="1"/>
    <col min="8206" max="8206" width="12.140625" style="54" bestFit="1" customWidth="1"/>
    <col min="8207" max="8447" width="9.140625" style="54"/>
    <col min="8448" max="8448" width="6.42578125" style="54" bestFit="1" customWidth="1"/>
    <col min="8449" max="8449" width="12.28515625" style="54" customWidth="1"/>
    <col min="8450" max="8451" width="9.140625" style="54"/>
    <col min="8452" max="8452" width="5" style="54" bestFit="1" customWidth="1"/>
    <col min="8453" max="8453" width="9.140625" style="54"/>
    <col min="8454" max="8454" width="22" style="54" customWidth="1"/>
    <col min="8455" max="8455" width="12.85546875" style="54" bestFit="1" customWidth="1"/>
    <col min="8456" max="8458" width="12.85546875" style="54" customWidth="1"/>
    <col min="8459" max="8459" width="11.28515625" style="54" bestFit="1" customWidth="1"/>
    <col min="8460" max="8460" width="13.7109375" style="54" customWidth="1"/>
    <col min="8461" max="8461" width="13.28515625" style="54" bestFit="1" customWidth="1"/>
    <col min="8462" max="8462" width="12.140625" style="54" bestFit="1" customWidth="1"/>
    <col min="8463" max="8703" width="9.140625" style="54"/>
    <col min="8704" max="8704" width="6.42578125" style="54" bestFit="1" customWidth="1"/>
    <col min="8705" max="8705" width="12.28515625" style="54" customWidth="1"/>
    <col min="8706" max="8707" width="9.140625" style="54"/>
    <col min="8708" max="8708" width="5" style="54" bestFit="1" customWidth="1"/>
    <col min="8709" max="8709" width="9.140625" style="54"/>
    <col min="8710" max="8710" width="22" style="54" customWidth="1"/>
    <col min="8711" max="8711" width="12.85546875" style="54" bestFit="1" customWidth="1"/>
    <col min="8712" max="8714" width="12.85546875" style="54" customWidth="1"/>
    <col min="8715" max="8715" width="11.28515625" style="54" bestFit="1" customWidth="1"/>
    <col min="8716" max="8716" width="13.7109375" style="54" customWidth="1"/>
    <col min="8717" max="8717" width="13.28515625" style="54" bestFit="1" customWidth="1"/>
    <col min="8718" max="8718" width="12.140625" style="54" bestFit="1" customWidth="1"/>
    <col min="8719" max="8959" width="9.140625" style="54"/>
    <col min="8960" max="8960" width="6.42578125" style="54" bestFit="1" customWidth="1"/>
    <col min="8961" max="8961" width="12.28515625" style="54" customWidth="1"/>
    <col min="8962" max="8963" width="9.140625" style="54"/>
    <col min="8964" max="8964" width="5" style="54" bestFit="1" customWidth="1"/>
    <col min="8965" max="8965" width="9.140625" style="54"/>
    <col min="8966" max="8966" width="22" style="54" customWidth="1"/>
    <col min="8967" max="8967" width="12.85546875" style="54" bestFit="1" customWidth="1"/>
    <col min="8968" max="8970" width="12.85546875" style="54" customWidth="1"/>
    <col min="8971" max="8971" width="11.28515625" style="54" bestFit="1" customWidth="1"/>
    <col min="8972" max="8972" width="13.7109375" style="54" customWidth="1"/>
    <col min="8973" max="8973" width="13.28515625" style="54" bestFit="1" customWidth="1"/>
    <col min="8974" max="8974" width="12.140625" style="54" bestFit="1" customWidth="1"/>
    <col min="8975" max="9215" width="9.140625" style="54"/>
    <col min="9216" max="9216" width="6.42578125" style="54" bestFit="1" customWidth="1"/>
    <col min="9217" max="9217" width="12.28515625" style="54" customWidth="1"/>
    <col min="9218" max="9219" width="9.140625" style="54"/>
    <col min="9220" max="9220" width="5" style="54" bestFit="1" customWidth="1"/>
    <col min="9221" max="9221" width="9.140625" style="54"/>
    <col min="9222" max="9222" width="22" style="54" customWidth="1"/>
    <col min="9223" max="9223" width="12.85546875" style="54" bestFit="1" customWidth="1"/>
    <col min="9224" max="9226" width="12.85546875" style="54" customWidth="1"/>
    <col min="9227" max="9227" width="11.28515625" style="54" bestFit="1" customWidth="1"/>
    <col min="9228" max="9228" width="13.7109375" style="54" customWidth="1"/>
    <col min="9229" max="9229" width="13.28515625" style="54" bestFit="1" customWidth="1"/>
    <col min="9230" max="9230" width="12.140625" style="54" bestFit="1" customWidth="1"/>
    <col min="9231" max="9471" width="9.140625" style="54"/>
    <col min="9472" max="9472" width="6.42578125" style="54" bestFit="1" customWidth="1"/>
    <col min="9473" max="9473" width="12.28515625" style="54" customWidth="1"/>
    <col min="9474" max="9475" width="9.140625" style="54"/>
    <col min="9476" max="9476" width="5" style="54" bestFit="1" customWidth="1"/>
    <col min="9477" max="9477" width="9.140625" style="54"/>
    <col min="9478" max="9478" width="22" style="54" customWidth="1"/>
    <col min="9479" max="9479" width="12.85546875" style="54" bestFit="1" customWidth="1"/>
    <col min="9480" max="9482" width="12.85546875" style="54" customWidth="1"/>
    <col min="9483" max="9483" width="11.28515625" style="54" bestFit="1" customWidth="1"/>
    <col min="9484" max="9484" width="13.7109375" style="54" customWidth="1"/>
    <col min="9485" max="9485" width="13.28515625" style="54" bestFit="1" customWidth="1"/>
    <col min="9486" max="9486" width="12.140625" style="54" bestFit="1" customWidth="1"/>
    <col min="9487" max="9727" width="9.140625" style="54"/>
    <col min="9728" max="9728" width="6.42578125" style="54" bestFit="1" customWidth="1"/>
    <col min="9729" max="9729" width="12.28515625" style="54" customWidth="1"/>
    <col min="9730" max="9731" width="9.140625" style="54"/>
    <col min="9732" max="9732" width="5" style="54" bestFit="1" customWidth="1"/>
    <col min="9733" max="9733" width="9.140625" style="54"/>
    <col min="9734" max="9734" width="22" style="54" customWidth="1"/>
    <col min="9735" max="9735" width="12.85546875" style="54" bestFit="1" customWidth="1"/>
    <col min="9736" max="9738" width="12.85546875" style="54" customWidth="1"/>
    <col min="9739" max="9739" width="11.28515625" style="54" bestFit="1" customWidth="1"/>
    <col min="9740" max="9740" width="13.7109375" style="54" customWidth="1"/>
    <col min="9741" max="9741" width="13.28515625" style="54" bestFit="1" customWidth="1"/>
    <col min="9742" max="9742" width="12.140625" style="54" bestFit="1" customWidth="1"/>
    <col min="9743" max="9983" width="9.140625" style="54"/>
    <col min="9984" max="9984" width="6.42578125" style="54" bestFit="1" customWidth="1"/>
    <col min="9985" max="9985" width="12.28515625" style="54" customWidth="1"/>
    <col min="9986" max="9987" width="9.140625" style="54"/>
    <col min="9988" max="9988" width="5" style="54" bestFit="1" customWidth="1"/>
    <col min="9989" max="9989" width="9.140625" style="54"/>
    <col min="9990" max="9990" width="22" style="54" customWidth="1"/>
    <col min="9991" max="9991" width="12.85546875" style="54" bestFit="1" customWidth="1"/>
    <col min="9992" max="9994" width="12.85546875" style="54" customWidth="1"/>
    <col min="9995" max="9995" width="11.28515625" style="54" bestFit="1" customWidth="1"/>
    <col min="9996" max="9996" width="13.7109375" style="54" customWidth="1"/>
    <col min="9997" max="9997" width="13.28515625" style="54" bestFit="1" customWidth="1"/>
    <col min="9998" max="9998" width="12.140625" style="54" bestFit="1" customWidth="1"/>
    <col min="9999" max="10239" width="9.140625" style="54"/>
    <col min="10240" max="10240" width="6.42578125" style="54" bestFit="1" customWidth="1"/>
    <col min="10241" max="10241" width="12.28515625" style="54" customWidth="1"/>
    <col min="10242" max="10243" width="9.140625" style="54"/>
    <col min="10244" max="10244" width="5" style="54" bestFit="1" customWidth="1"/>
    <col min="10245" max="10245" width="9.140625" style="54"/>
    <col min="10246" max="10246" width="22" style="54" customWidth="1"/>
    <col min="10247" max="10247" width="12.85546875" style="54" bestFit="1" customWidth="1"/>
    <col min="10248" max="10250" width="12.85546875" style="54" customWidth="1"/>
    <col min="10251" max="10251" width="11.28515625" style="54" bestFit="1" customWidth="1"/>
    <col min="10252" max="10252" width="13.7109375" style="54" customWidth="1"/>
    <col min="10253" max="10253" width="13.28515625" style="54" bestFit="1" customWidth="1"/>
    <col min="10254" max="10254" width="12.140625" style="54" bestFit="1" customWidth="1"/>
    <col min="10255" max="10495" width="9.140625" style="54"/>
    <col min="10496" max="10496" width="6.42578125" style="54" bestFit="1" customWidth="1"/>
    <col min="10497" max="10497" width="12.28515625" style="54" customWidth="1"/>
    <col min="10498" max="10499" width="9.140625" style="54"/>
    <col min="10500" max="10500" width="5" style="54" bestFit="1" customWidth="1"/>
    <col min="10501" max="10501" width="9.140625" style="54"/>
    <col min="10502" max="10502" width="22" style="54" customWidth="1"/>
    <col min="10503" max="10503" width="12.85546875" style="54" bestFit="1" customWidth="1"/>
    <col min="10504" max="10506" width="12.85546875" style="54" customWidth="1"/>
    <col min="10507" max="10507" width="11.28515625" style="54" bestFit="1" customWidth="1"/>
    <col min="10508" max="10508" width="13.7109375" style="54" customWidth="1"/>
    <col min="10509" max="10509" width="13.28515625" style="54" bestFit="1" customWidth="1"/>
    <col min="10510" max="10510" width="12.140625" style="54" bestFit="1" customWidth="1"/>
    <col min="10511" max="10751" width="9.140625" style="54"/>
    <col min="10752" max="10752" width="6.42578125" style="54" bestFit="1" customWidth="1"/>
    <col min="10753" max="10753" width="12.28515625" style="54" customWidth="1"/>
    <col min="10754" max="10755" width="9.140625" style="54"/>
    <col min="10756" max="10756" width="5" style="54" bestFit="1" customWidth="1"/>
    <col min="10757" max="10757" width="9.140625" style="54"/>
    <col min="10758" max="10758" width="22" style="54" customWidth="1"/>
    <col min="10759" max="10759" width="12.85546875" style="54" bestFit="1" customWidth="1"/>
    <col min="10760" max="10762" width="12.85546875" style="54" customWidth="1"/>
    <col min="10763" max="10763" width="11.28515625" style="54" bestFit="1" customWidth="1"/>
    <col min="10764" max="10764" width="13.7109375" style="54" customWidth="1"/>
    <col min="10765" max="10765" width="13.28515625" style="54" bestFit="1" customWidth="1"/>
    <col min="10766" max="10766" width="12.140625" style="54" bestFit="1" customWidth="1"/>
    <col min="10767" max="11007" width="9.140625" style="54"/>
    <col min="11008" max="11008" width="6.42578125" style="54" bestFit="1" customWidth="1"/>
    <col min="11009" max="11009" width="12.28515625" style="54" customWidth="1"/>
    <col min="11010" max="11011" width="9.140625" style="54"/>
    <col min="11012" max="11012" width="5" style="54" bestFit="1" customWidth="1"/>
    <col min="11013" max="11013" width="9.140625" style="54"/>
    <col min="11014" max="11014" width="22" style="54" customWidth="1"/>
    <col min="11015" max="11015" width="12.85546875" style="54" bestFit="1" customWidth="1"/>
    <col min="11016" max="11018" width="12.85546875" style="54" customWidth="1"/>
    <col min="11019" max="11019" width="11.28515625" style="54" bestFit="1" customWidth="1"/>
    <col min="11020" max="11020" width="13.7109375" style="54" customWidth="1"/>
    <col min="11021" max="11021" width="13.28515625" style="54" bestFit="1" customWidth="1"/>
    <col min="11022" max="11022" width="12.140625" style="54" bestFit="1" customWidth="1"/>
    <col min="11023" max="11263" width="9.140625" style="54"/>
    <col min="11264" max="11264" width="6.42578125" style="54" bestFit="1" customWidth="1"/>
    <col min="11265" max="11265" width="12.28515625" style="54" customWidth="1"/>
    <col min="11266" max="11267" width="9.140625" style="54"/>
    <col min="11268" max="11268" width="5" style="54" bestFit="1" customWidth="1"/>
    <col min="11269" max="11269" width="9.140625" style="54"/>
    <col min="11270" max="11270" width="22" style="54" customWidth="1"/>
    <col min="11271" max="11271" width="12.85546875" style="54" bestFit="1" customWidth="1"/>
    <col min="11272" max="11274" width="12.85546875" style="54" customWidth="1"/>
    <col min="11275" max="11275" width="11.28515625" style="54" bestFit="1" customWidth="1"/>
    <col min="11276" max="11276" width="13.7109375" style="54" customWidth="1"/>
    <col min="11277" max="11277" width="13.28515625" style="54" bestFit="1" customWidth="1"/>
    <col min="11278" max="11278" width="12.140625" style="54" bestFit="1" customWidth="1"/>
    <col min="11279" max="11519" width="9.140625" style="54"/>
    <col min="11520" max="11520" width="6.42578125" style="54" bestFit="1" customWidth="1"/>
    <col min="11521" max="11521" width="12.28515625" style="54" customWidth="1"/>
    <col min="11522" max="11523" width="9.140625" style="54"/>
    <col min="11524" max="11524" width="5" style="54" bestFit="1" customWidth="1"/>
    <col min="11525" max="11525" width="9.140625" style="54"/>
    <col min="11526" max="11526" width="22" style="54" customWidth="1"/>
    <col min="11527" max="11527" width="12.85546875" style="54" bestFit="1" customWidth="1"/>
    <col min="11528" max="11530" width="12.85546875" style="54" customWidth="1"/>
    <col min="11531" max="11531" width="11.28515625" style="54" bestFit="1" customWidth="1"/>
    <col min="11532" max="11532" width="13.7109375" style="54" customWidth="1"/>
    <col min="11533" max="11533" width="13.28515625" style="54" bestFit="1" customWidth="1"/>
    <col min="11534" max="11534" width="12.140625" style="54" bestFit="1" customWidth="1"/>
    <col min="11535" max="11775" width="9.140625" style="54"/>
    <col min="11776" max="11776" width="6.42578125" style="54" bestFit="1" customWidth="1"/>
    <col min="11777" max="11777" width="12.28515625" style="54" customWidth="1"/>
    <col min="11778" max="11779" width="9.140625" style="54"/>
    <col min="11780" max="11780" width="5" style="54" bestFit="1" customWidth="1"/>
    <col min="11781" max="11781" width="9.140625" style="54"/>
    <col min="11782" max="11782" width="22" style="54" customWidth="1"/>
    <col min="11783" max="11783" width="12.85546875" style="54" bestFit="1" customWidth="1"/>
    <col min="11784" max="11786" width="12.85546875" style="54" customWidth="1"/>
    <col min="11787" max="11787" width="11.28515625" style="54" bestFit="1" customWidth="1"/>
    <col min="11788" max="11788" width="13.7109375" style="54" customWidth="1"/>
    <col min="11789" max="11789" width="13.28515625" style="54" bestFit="1" customWidth="1"/>
    <col min="11790" max="11790" width="12.140625" style="54" bestFit="1" customWidth="1"/>
    <col min="11791" max="12031" width="9.140625" style="54"/>
    <col min="12032" max="12032" width="6.42578125" style="54" bestFit="1" customWidth="1"/>
    <col min="12033" max="12033" width="12.28515625" style="54" customWidth="1"/>
    <col min="12034" max="12035" width="9.140625" style="54"/>
    <col min="12036" max="12036" width="5" style="54" bestFit="1" customWidth="1"/>
    <col min="12037" max="12037" width="9.140625" style="54"/>
    <col min="12038" max="12038" width="22" style="54" customWidth="1"/>
    <col min="12039" max="12039" width="12.85546875" style="54" bestFit="1" customWidth="1"/>
    <col min="12040" max="12042" width="12.85546875" style="54" customWidth="1"/>
    <col min="12043" max="12043" width="11.28515625" style="54" bestFit="1" customWidth="1"/>
    <col min="12044" max="12044" width="13.7109375" style="54" customWidth="1"/>
    <col min="12045" max="12045" width="13.28515625" style="54" bestFit="1" customWidth="1"/>
    <col min="12046" max="12046" width="12.140625" style="54" bestFit="1" customWidth="1"/>
    <col min="12047" max="12287" width="9.140625" style="54"/>
    <col min="12288" max="12288" width="6.42578125" style="54" bestFit="1" customWidth="1"/>
    <col min="12289" max="12289" width="12.28515625" style="54" customWidth="1"/>
    <col min="12290" max="12291" width="9.140625" style="54"/>
    <col min="12292" max="12292" width="5" style="54" bestFit="1" customWidth="1"/>
    <col min="12293" max="12293" width="9.140625" style="54"/>
    <col min="12294" max="12294" width="22" style="54" customWidth="1"/>
    <col min="12295" max="12295" width="12.85546875" style="54" bestFit="1" customWidth="1"/>
    <col min="12296" max="12298" width="12.85546875" style="54" customWidth="1"/>
    <col min="12299" max="12299" width="11.28515625" style="54" bestFit="1" customWidth="1"/>
    <col min="12300" max="12300" width="13.7109375" style="54" customWidth="1"/>
    <col min="12301" max="12301" width="13.28515625" style="54" bestFit="1" customWidth="1"/>
    <col min="12302" max="12302" width="12.140625" style="54" bestFit="1" customWidth="1"/>
    <col min="12303" max="12543" width="9.140625" style="54"/>
    <col min="12544" max="12544" width="6.42578125" style="54" bestFit="1" customWidth="1"/>
    <col min="12545" max="12545" width="12.28515625" style="54" customWidth="1"/>
    <col min="12546" max="12547" width="9.140625" style="54"/>
    <col min="12548" max="12548" width="5" style="54" bestFit="1" customWidth="1"/>
    <col min="12549" max="12549" width="9.140625" style="54"/>
    <col min="12550" max="12550" width="22" style="54" customWidth="1"/>
    <col min="12551" max="12551" width="12.85546875" style="54" bestFit="1" customWidth="1"/>
    <col min="12552" max="12554" width="12.85546875" style="54" customWidth="1"/>
    <col min="12555" max="12555" width="11.28515625" style="54" bestFit="1" customWidth="1"/>
    <col min="12556" max="12556" width="13.7109375" style="54" customWidth="1"/>
    <col min="12557" max="12557" width="13.28515625" style="54" bestFit="1" customWidth="1"/>
    <col min="12558" max="12558" width="12.140625" style="54" bestFit="1" customWidth="1"/>
    <col min="12559" max="12799" width="9.140625" style="54"/>
    <col min="12800" max="12800" width="6.42578125" style="54" bestFit="1" customWidth="1"/>
    <col min="12801" max="12801" width="12.28515625" style="54" customWidth="1"/>
    <col min="12802" max="12803" width="9.140625" style="54"/>
    <col min="12804" max="12804" width="5" style="54" bestFit="1" customWidth="1"/>
    <col min="12805" max="12805" width="9.140625" style="54"/>
    <col min="12806" max="12806" width="22" style="54" customWidth="1"/>
    <col min="12807" max="12807" width="12.85546875" style="54" bestFit="1" customWidth="1"/>
    <col min="12808" max="12810" width="12.85546875" style="54" customWidth="1"/>
    <col min="12811" max="12811" width="11.28515625" style="54" bestFit="1" customWidth="1"/>
    <col min="12812" max="12812" width="13.7109375" style="54" customWidth="1"/>
    <col min="12813" max="12813" width="13.28515625" style="54" bestFit="1" customWidth="1"/>
    <col min="12814" max="12814" width="12.140625" style="54" bestFit="1" customWidth="1"/>
    <col min="12815" max="13055" width="9.140625" style="54"/>
    <col min="13056" max="13056" width="6.42578125" style="54" bestFit="1" customWidth="1"/>
    <col min="13057" max="13057" width="12.28515625" style="54" customWidth="1"/>
    <col min="13058" max="13059" width="9.140625" style="54"/>
    <col min="13060" max="13060" width="5" style="54" bestFit="1" customWidth="1"/>
    <col min="13061" max="13061" width="9.140625" style="54"/>
    <col min="13062" max="13062" width="22" style="54" customWidth="1"/>
    <col min="13063" max="13063" width="12.85546875" style="54" bestFit="1" customWidth="1"/>
    <col min="13064" max="13066" width="12.85546875" style="54" customWidth="1"/>
    <col min="13067" max="13067" width="11.28515625" style="54" bestFit="1" customWidth="1"/>
    <col min="13068" max="13068" width="13.7109375" style="54" customWidth="1"/>
    <col min="13069" max="13069" width="13.28515625" style="54" bestFit="1" customWidth="1"/>
    <col min="13070" max="13070" width="12.140625" style="54" bestFit="1" customWidth="1"/>
    <col min="13071" max="13311" width="9.140625" style="54"/>
    <col min="13312" max="13312" width="6.42578125" style="54" bestFit="1" customWidth="1"/>
    <col min="13313" max="13313" width="12.28515625" style="54" customWidth="1"/>
    <col min="13314" max="13315" width="9.140625" style="54"/>
    <col min="13316" max="13316" width="5" style="54" bestFit="1" customWidth="1"/>
    <col min="13317" max="13317" width="9.140625" style="54"/>
    <col min="13318" max="13318" width="22" style="54" customWidth="1"/>
    <col min="13319" max="13319" width="12.85546875" style="54" bestFit="1" customWidth="1"/>
    <col min="13320" max="13322" width="12.85546875" style="54" customWidth="1"/>
    <col min="13323" max="13323" width="11.28515625" style="54" bestFit="1" customWidth="1"/>
    <col min="13324" max="13324" width="13.7109375" style="54" customWidth="1"/>
    <col min="13325" max="13325" width="13.28515625" style="54" bestFit="1" customWidth="1"/>
    <col min="13326" max="13326" width="12.140625" style="54" bestFit="1" customWidth="1"/>
    <col min="13327" max="13567" width="9.140625" style="54"/>
    <col min="13568" max="13568" width="6.42578125" style="54" bestFit="1" customWidth="1"/>
    <col min="13569" max="13569" width="12.28515625" style="54" customWidth="1"/>
    <col min="13570" max="13571" width="9.140625" style="54"/>
    <col min="13572" max="13572" width="5" style="54" bestFit="1" customWidth="1"/>
    <col min="13573" max="13573" width="9.140625" style="54"/>
    <col min="13574" max="13574" width="22" style="54" customWidth="1"/>
    <col min="13575" max="13575" width="12.85546875" style="54" bestFit="1" customWidth="1"/>
    <col min="13576" max="13578" width="12.85546875" style="54" customWidth="1"/>
    <col min="13579" max="13579" width="11.28515625" style="54" bestFit="1" customWidth="1"/>
    <col min="13580" max="13580" width="13.7109375" style="54" customWidth="1"/>
    <col min="13581" max="13581" width="13.28515625" style="54" bestFit="1" customWidth="1"/>
    <col min="13582" max="13582" width="12.140625" style="54" bestFit="1" customWidth="1"/>
    <col min="13583" max="13823" width="9.140625" style="54"/>
    <col min="13824" max="13824" width="6.42578125" style="54" bestFit="1" customWidth="1"/>
    <col min="13825" max="13825" width="12.28515625" style="54" customWidth="1"/>
    <col min="13826" max="13827" width="9.140625" style="54"/>
    <col min="13828" max="13828" width="5" style="54" bestFit="1" customWidth="1"/>
    <col min="13829" max="13829" width="9.140625" style="54"/>
    <col min="13830" max="13830" width="22" style="54" customWidth="1"/>
    <col min="13831" max="13831" width="12.85546875" style="54" bestFit="1" customWidth="1"/>
    <col min="13832" max="13834" width="12.85546875" style="54" customWidth="1"/>
    <col min="13835" max="13835" width="11.28515625" style="54" bestFit="1" customWidth="1"/>
    <col min="13836" max="13836" width="13.7109375" style="54" customWidth="1"/>
    <col min="13837" max="13837" width="13.28515625" style="54" bestFit="1" customWidth="1"/>
    <col min="13838" max="13838" width="12.140625" style="54" bestFit="1" customWidth="1"/>
    <col min="13839" max="14079" width="9.140625" style="54"/>
    <col min="14080" max="14080" width="6.42578125" style="54" bestFit="1" customWidth="1"/>
    <col min="14081" max="14081" width="12.28515625" style="54" customWidth="1"/>
    <col min="14082" max="14083" width="9.140625" style="54"/>
    <col min="14084" max="14084" width="5" style="54" bestFit="1" customWidth="1"/>
    <col min="14085" max="14085" width="9.140625" style="54"/>
    <col min="14086" max="14086" width="22" style="54" customWidth="1"/>
    <col min="14087" max="14087" width="12.85546875" style="54" bestFit="1" customWidth="1"/>
    <col min="14088" max="14090" width="12.85546875" style="54" customWidth="1"/>
    <col min="14091" max="14091" width="11.28515625" style="54" bestFit="1" customWidth="1"/>
    <col min="14092" max="14092" width="13.7109375" style="54" customWidth="1"/>
    <col min="14093" max="14093" width="13.28515625" style="54" bestFit="1" customWidth="1"/>
    <col min="14094" max="14094" width="12.140625" style="54" bestFit="1" customWidth="1"/>
    <col min="14095" max="14335" width="9.140625" style="54"/>
    <col min="14336" max="14336" width="6.42578125" style="54" bestFit="1" customWidth="1"/>
    <col min="14337" max="14337" width="12.28515625" style="54" customWidth="1"/>
    <col min="14338" max="14339" width="9.140625" style="54"/>
    <col min="14340" max="14340" width="5" style="54" bestFit="1" customWidth="1"/>
    <col min="14341" max="14341" width="9.140625" style="54"/>
    <col min="14342" max="14342" width="22" style="54" customWidth="1"/>
    <col min="14343" max="14343" width="12.85546875" style="54" bestFit="1" customWidth="1"/>
    <col min="14344" max="14346" width="12.85546875" style="54" customWidth="1"/>
    <col min="14347" max="14347" width="11.28515625" style="54" bestFit="1" customWidth="1"/>
    <col min="14348" max="14348" width="13.7109375" style="54" customWidth="1"/>
    <col min="14349" max="14349" width="13.28515625" style="54" bestFit="1" customWidth="1"/>
    <col min="14350" max="14350" width="12.140625" style="54" bestFit="1" customWidth="1"/>
    <col min="14351" max="14591" width="9.140625" style="54"/>
    <col min="14592" max="14592" width="6.42578125" style="54" bestFit="1" customWidth="1"/>
    <col min="14593" max="14593" width="12.28515625" style="54" customWidth="1"/>
    <col min="14594" max="14595" width="9.140625" style="54"/>
    <col min="14596" max="14596" width="5" style="54" bestFit="1" customWidth="1"/>
    <col min="14597" max="14597" width="9.140625" style="54"/>
    <col min="14598" max="14598" width="22" style="54" customWidth="1"/>
    <col min="14599" max="14599" width="12.85546875" style="54" bestFit="1" customWidth="1"/>
    <col min="14600" max="14602" width="12.85546875" style="54" customWidth="1"/>
    <col min="14603" max="14603" width="11.28515625" style="54" bestFit="1" customWidth="1"/>
    <col min="14604" max="14604" width="13.7109375" style="54" customWidth="1"/>
    <col min="14605" max="14605" width="13.28515625" style="54" bestFit="1" customWidth="1"/>
    <col min="14606" max="14606" width="12.140625" style="54" bestFit="1" customWidth="1"/>
    <col min="14607" max="14847" width="9.140625" style="54"/>
    <col min="14848" max="14848" width="6.42578125" style="54" bestFit="1" customWidth="1"/>
    <col min="14849" max="14849" width="12.28515625" style="54" customWidth="1"/>
    <col min="14850" max="14851" width="9.140625" style="54"/>
    <col min="14852" max="14852" width="5" style="54" bestFit="1" customWidth="1"/>
    <col min="14853" max="14853" width="9.140625" style="54"/>
    <col min="14854" max="14854" width="22" style="54" customWidth="1"/>
    <col min="14855" max="14855" width="12.85546875" style="54" bestFit="1" customWidth="1"/>
    <col min="14856" max="14858" width="12.85546875" style="54" customWidth="1"/>
    <col min="14859" max="14859" width="11.28515625" style="54" bestFit="1" customWidth="1"/>
    <col min="14860" max="14860" width="13.7109375" style="54" customWidth="1"/>
    <col min="14861" max="14861" width="13.28515625" style="54" bestFit="1" customWidth="1"/>
    <col min="14862" max="14862" width="12.140625" style="54" bestFit="1" customWidth="1"/>
    <col min="14863" max="15103" width="9.140625" style="54"/>
    <col min="15104" max="15104" width="6.42578125" style="54" bestFit="1" customWidth="1"/>
    <col min="15105" max="15105" width="12.28515625" style="54" customWidth="1"/>
    <col min="15106" max="15107" width="9.140625" style="54"/>
    <col min="15108" max="15108" width="5" style="54" bestFit="1" customWidth="1"/>
    <col min="15109" max="15109" width="9.140625" style="54"/>
    <col min="15110" max="15110" width="22" style="54" customWidth="1"/>
    <col min="15111" max="15111" width="12.85546875" style="54" bestFit="1" customWidth="1"/>
    <col min="15112" max="15114" width="12.85546875" style="54" customWidth="1"/>
    <col min="15115" max="15115" width="11.28515625" style="54" bestFit="1" customWidth="1"/>
    <col min="15116" max="15116" width="13.7109375" style="54" customWidth="1"/>
    <col min="15117" max="15117" width="13.28515625" style="54" bestFit="1" customWidth="1"/>
    <col min="15118" max="15118" width="12.140625" style="54" bestFit="1" customWidth="1"/>
    <col min="15119" max="15359" width="9.140625" style="54"/>
    <col min="15360" max="15360" width="6.42578125" style="54" bestFit="1" customWidth="1"/>
    <col min="15361" max="15361" width="12.28515625" style="54" customWidth="1"/>
    <col min="15362" max="15363" width="9.140625" style="54"/>
    <col min="15364" max="15364" width="5" style="54" bestFit="1" customWidth="1"/>
    <col min="15365" max="15365" width="9.140625" style="54"/>
    <col min="15366" max="15366" width="22" style="54" customWidth="1"/>
    <col min="15367" max="15367" width="12.85546875" style="54" bestFit="1" customWidth="1"/>
    <col min="15368" max="15370" width="12.85546875" style="54" customWidth="1"/>
    <col min="15371" max="15371" width="11.28515625" style="54" bestFit="1" customWidth="1"/>
    <col min="15372" max="15372" width="13.7109375" style="54" customWidth="1"/>
    <col min="15373" max="15373" width="13.28515625" style="54" bestFit="1" customWidth="1"/>
    <col min="15374" max="15374" width="12.140625" style="54" bestFit="1" customWidth="1"/>
    <col min="15375" max="15615" width="9.140625" style="54"/>
    <col min="15616" max="15616" width="6.42578125" style="54" bestFit="1" customWidth="1"/>
    <col min="15617" max="15617" width="12.28515625" style="54" customWidth="1"/>
    <col min="15618" max="15619" width="9.140625" style="54"/>
    <col min="15620" max="15620" width="5" style="54" bestFit="1" customWidth="1"/>
    <col min="15621" max="15621" width="9.140625" style="54"/>
    <col min="15622" max="15622" width="22" style="54" customWidth="1"/>
    <col min="15623" max="15623" width="12.85546875" style="54" bestFit="1" customWidth="1"/>
    <col min="15624" max="15626" width="12.85546875" style="54" customWidth="1"/>
    <col min="15627" max="15627" width="11.28515625" style="54" bestFit="1" customWidth="1"/>
    <col min="15628" max="15628" width="13.7109375" style="54" customWidth="1"/>
    <col min="15629" max="15629" width="13.28515625" style="54" bestFit="1" customWidth="1"/>
    <col min="15630" max="15630" width="12.140625" style="54" bestFit="1" customWidth="1"/>
    <col min="15631" max="15871" width="9.140625" style="54"/>
    <col min="15872" max="15872" width="6.42578125" style="54" bestFit="1" customWidth="1"/>
    <col min="15873" max="15873" width="12.28515625" style="54" customWidth="1"/>
    <col min="15874" max="15875" width="9.140625" style="54"/>
    <col min="15876" max="15876" width="5" style="54" bestFit="1" customWidth="1"/>
    <col min="15877" max="15877" width="9.140625" style="54"/>
    <col min="15878" max="15878" width="22" style="54" customWidth="1"/>
    <col min="15879" max="15879" width="12.85546875" style="54" bestFit="1" customWidth="1"/>
    <col min="15880" max="15882" width="12.85546875" style="54" customWidth="1"/>
    <col min="15883" max="15883" width="11.28515625" style="54" bestFit="1" customWidth="1"/>
    <col min="15884" max="15884" width="13.7109375" style="54" customWidth="1"/>
    <col min="15885" max="15885" width="13.28515625" style="54" bestFit="1" customWidth="1"/>
    <col min="15886" max="15886" width="12.140625" style="54" bestFit="1" customWidth="1"/>
    <col min="15887" max="16127" width="9.140625" style="54"/>
    <col min="16128" max="16128" width="6.42578125" style="54" bestFit="1" customWidth="1"/>
    <col min="16129" max="16129" width="12.28515625" style="54" customWidth="1"/>
    <col min="16130" max="16131" width="9.140625" style="54"/>
    <col min="16132" max="16132" width="5" style="54" bestFit="1" customWidth="1"/>
    <col min="16133" max="16133" width="9.140625" style="54"/>
    <col min="16134" max="16134" width="22" style="54" customWidth="1"/>
    <col min="16135" max="16135" width="12.85546875" style="54" bestFit="1" customWidth="1"/>
    <col min="16136" max="16138" width="12.85546875" style="54" customWidth="1"/>
    <col min="16139" max="16139" width="11.28515625" style="54" bestFit="1" customWidth="1"/>
    <col min="16140" max="16140" width="13.7109375" style="54" customWidth="1"/>
    <col min="16141" max="16141" width="13.28515625" style="54" bestFit="1" customWidth="1"/>
    <col min="16142" max="16142" width="12.140625" style="54" bestFit="1" customWidth="1"/>
    <col min="16143" max="16384" width="9.140625" style="54"/>
  </cols>
  <sheetData>
    <row r="1" spans="1:15" x14ac:dyDescent="0.2">
      <c r="C1" s="55" t="s">
        <v>42</v>
      </c>
      <c r="D1" s="56"/>
      <c r="E1" s="57">
        <v>1250</v>
      </c>
      <c r="F1" s="58" t="s">
        <v>43</v>
      </c>
      <c r="G1" s="58"/>
      <c r="H1" s="206" t="s">
        <v>158</v>
      </c>
      <c r="I1" s="206"/>
      <c r="J1" s="206"/>
      <c r="K1" s="206"/>
      <c r="L1" s="206"/>
      <c r="M1" s="59" t="s">
        <v>44</v>
      </c>
      <c r="N1" s="60">
        <v>1.02</v>
      </c>
    </row>
    <row r="2" spans="1:15" x14ac:dyDescent="0.2">
      <c r="C2" s="55" t="s">
        <v>45</v>
      </c>
      <c r="E2" s="57">
        <v>522</v>
      </c>
      <c r="F2" s="61" t="s">
        <v>46</v>
      </c>
      <c r="G2" s="61"/>
      <c r="H2" s="207"/>
      <c r="I2" s="207"/>
      <c r="J2" s="207"/>
      <c r="K2" s="207"/>
      <c r="L2" s="207"/>
      <c r="M2" s="59"/>
      <c r="N2" s="59"/>
    </row>
    <row r="3" spans="1:15" ht="26.45" x14ac:dyDescent="0.25">
      <c r="A3" s="62" t="s">
        <v>47</v>
      </c>
      <c r="B3" s="215" t="s">
        <v>48</v>
      </c>
      <c r="C3" s="216"/>
      <c r="D3" s="216"/>
      <c r="E3" s="216"/>
      <c r="F3" s="216"/>
      <c r="G3" s="216"/>
      <c r="H3" s="62" t="s">
        <v>145</v>
      </c>
      <c r="I3" s="62" t="s">
        <v>146</v>
      </c>
      <c r="J3" s="62" t="s">
        <v>147</v>
      </c>
      <c r="K3" s="62" t="s">
        <v>148</v>
      </c>
      <c r="L3" s="62" t="s">
        <v>149</v>
      </c>
      <c r="M3" s="62" t="s">
        <v>153</v>
      </c>
      <c r="N3" s="62" t="s">
        <v>150</v>
      </c>
    </row>
    <row r="4" spans="1:15" ht="12.75" customHeight="1" x14ac:dyDescent="0.25">
      <c r="A4" s="106">
        <v>120</v>
      </c>
      <c r="B4" s="210" t="s">
        <v>49</v>
      </c>
      <c r="C4" s="210"/>
      <c r="D4" s="210"/>
      <c r="E4" s="210"/>
      <c r="F4" s="210"/>
      <c r="G4" s="210"/>
      <c r="H4" s="64"/>
      <c r="I4" s="64"/>
      <c r="J4" s="64"/>
      <c r="K4" s="65"/>
      <c r="L4" s="64"/>
      <c r="M4" s="64"/>
      <c r="N4" s="64"/>
    </row>
    <row r="5" spans="1:15" ht="12.75" customHeight="1" x14ac:dyDescent="0.25">
      <c r="A5" s="66"/>
      <c r="B5" s="202" t="s">
        <v>244</v>
      </c>
      <c r="C5" s="202"/>
      <c r="D5" s="202"/>
      <c r="E5" s="202"/>
      <c r="F5" s="202"/>
      <c r="G5" s="202"/>
      <c r="H5" s="67">
        <v>85000</v>
      </c>
      <c r="I5" s="67">
        <v>117000</v>
      </c>
      <c r="J5" s="67">
        <v>119700</v>
      </c>
      <c r="K5" s="67">
        <f>SUM(J5*1.03)</f>
        <v>123291</v>
      </c>
      <c r="L5" s="67">
        <f t="shared" ref="L5:N5" si="0">SUM(K5*1.03)</f>
        <v>126989.73000000001</v>
      </c>
      <c r="M5" s="67">
        <f t="shared" si="0"/>
        <v>130799.42190000002</v>
      </c>
      <c r="N5" s="67">
        <f t="shared" si="0"/>
        <v>134723.40455700003</v>
      </c>
      <c r="O5" s="54" t="s">
        <v>278</v>
      </c>
    </row>
    <row r="6" spans="1:15" ht="27.75" customHeight="1" x14ac:dyDescent="0.25">
      <c r="A6" s="66" t="s">
        <v>50</v>
      </c>
      <c r="B6" s="202" t="s">
        <v>51</v>
      </c>
      <c r="C6" s="202" t="s">
        <v>52</v>
      </c>
      <c r="D6" s="202"/>
      <c r="E6" s="202"/>
      <c r="F6" s="202"/>
      <c r="G6" s="202"/>
      <c r="H6" s="67">
        <f>SUM('7-Day PP (40 Hour WW)'!Z15)</f>
        <v>1243526.7808000001</v>
      </c>
      <c r="I6" s="67">
        <f>SUM('28-Day PP (7k)'!AB15)</f>
        <v>1506564.44</v>
      </c>
      <c r="J6" s="67">
        <f>SUM('28-Day PP (7k)'!AD15)</f>
        <v>1695139.68</v>
      </c>
      <c r="K6" s="68">
        <f>SUM('28-Day PP (7k)'!AF15)</f>
        <v>1852912.6399999999</v>
      </c>
      <c r="L6" s="69">
        <f>SUM('28-Day PP (7k)'!AH15)</f>
        <v>1985161.44</v>
      </c>
      <c r="M6" s="69">
        <f>SUM('28-Day PP (7k)'!AJ15)</f>
        <v>2092476.48</v>
      </c>
      <c r="N6" s="69">
        <f>SUM('28-Day PP (7k)'!AL15)</f>
        <v>2180986.08</v>
      </c>
    </row>
    <row r="7" spans="1:15" ht="12.75" customHeight="1" x14ac:dyDescent="0.25">
      <c r="A7" s="70"/>
      <c r="B7" s="204" t="s">
        <v>53</v>
      </c>
      <c r="C7" s="204"/>
      <c r="D7" s="204"/>
      <c r="E7" s="204"/>
      <c r="F7" s="204"/>
      <c r="G7" s="204"/>
      <c r="H7" s="71">
        <f>SUM(H5:H6)</f>
        <v>1328526.7808000001</v>
      </c>
      <c r="I7" s="71">
        <f>SUM(I5:I6)</f>
        <v>1623564.44</v>
      </c>
      <c r="J7" s="71">
        <f t="shared" ref="J7:N7" si="1">SUM(J5:J6)</f>
        <v>1814839.68</v>
      </c>
      <c r="K7" s="71">
        <f t="shared" si="1"/>
        <v>1976203.64</v>
      </c>
      <c r="L7" s="71">
        <f t="shared" si="1"/>
        <v>2112151.17</v>
      </c>
      <c r="M7" s="71">
        <f t="shared" si="1"/>
        <v>2223275.9018999999</v>
      </c>
      <c r="N7" s="71">
        <f t="shared" si="1"/>
        <v>2315709.484557</v>
      </c>
    </row>
    <row r="8" spans="1:15" ht="12.75" customHeight="1" x14ac:dyDescent="0.25">
      <c r="A8" s="106">
        <v>121</v>
      </c>
      <c r="B8" s="210" t="s">
        <v>54</v>
      </c>
      <c r="C8" s="210"/>
      <c r="D8" s="210"/>
      <c r="E8" s="210"/>
      <c r="F8" s="210"/>
      <c r="G8" s="210"/>
      <c r="H8" s="73"/>
      <c r="I8" s="73"/>
      <c r="J8" s="73"/>
      <c r="K8" s="68"/>
      <c r="L8" s="73"/>
      <c r="M8" s="73"/>
      <c r="N8" s="73"/>
      <c r="O8" s="54" t="s">
        <v>264</v>
      </c>
    </row>
    <row r="9" spans="1:15" ht="12.75" customHeight="1" x14ac:dyDescent="0.25">
      <c r="A9" s="66" t="s">
        <v>55</v>
      </c>
      <c r="B9" s="202" t="s">
        <v>36</v>
      </c>
      <c r="C9" s="202"/>
      <c r="D9" s="202"/>
      <c r="E9" s="202"/>
      <c r="F9" s="202"/>
      <c r="G9" s="202"/>
      <c r="H9" s="67"/>
      <c r="I9" s="67">
        <f>SUM('28-Day PP (7k)'!AB20)</f>
        <v>104000</v>
      </c>
      <c r="J9" s="75">
        <f>SUM('28-Day PP (7k)'!AD20)</f>
        <v>108160</v>
      </c>
      <c r="K9" s="76">
        <f>SUM('28-Day PP (7k)'!AF20)</f>
        <v>112486.39999999999</v>
      </c>
      <c r="L9" s="75">
        <f>SUM('28-Day PP (7k)'!AH20)</f>
        <v>116985.856</v>
      </c>
      <c r="M9" s="75">
        <f>SUM('28-Day PP (7k)'!AJ20)</f>
        <v>121665.29024</v>
      </c>
      <c r="N9" s="75">
        <f>SUM('28-Day PP (7k)'!AL20)</f>
        <v>126531.90184960001</v>
      </c>
    </row>
    <row r="10" spans="1:15" ht="12.75" customHeight="1" x14ac:dyDescent="0.25">
      <c r="A10" s="66" t="s">
        <v>50</v>
      </c>
      <c r="B10" s="202" t="s">
        <v>138</v>
      </c>
      <c r="C10" s="202"/>
      <c r="D10" s="202"/>
      <c r="E10" s="202"/>
      <c r="F10" s="202"/>
      <c r="G10" s="202"/>
      <c r="H10" s="67"/>
      <c r="I10" s="67">
        <f>SUM('28-Day PP (7k)'!AB19)</f>
        <v>78000</v>
      </c>
      <c r="J10" s="67">
        <f>SUM('28-Day PP (7k)'!AD19)</f>
        <v>81120</v>
      </c>
      <c r="K10" s="68">
        <f>SUM('28-Day PP (7k)'!AF19)</f>
        <v>84364.800000000003</v>
      </c>
      <c r="L10" s="67">
        <f>SUM('28-Day PP (7k)'!AH19)</f>
        <v>87739.392000000007</v>
      </c>
      <c r="M10" s="67">
        <f>SUM('28-Day PP (7k)'!AJ19)</f>
        <v>91248.967680000002</v>
      </c>
      <c r="N10" s="67">
        <f>SUM('28-Day PP (7k)'!AL19)</f>
        <v>94898.926387200001</v>
      </c>
    </row>
    <row r="11" spans="1:15" ht="13.15" x14ac:dyDescent="0.25">
      <c r="A11" s="66" t="s">
        <v>56</v>
      </c>
      <c r="B11" s="202" t="s">
        <v>140</v>
      </c>
      <c r="C11" s="202"/>
      <c r="D11" s="202"/>
      <c r="E11" s="202"/>
      <c r="F11" s="202"/>
      <c r="G11" s="202"/>
      <c r="H11" s="67">
        <v>371000</v>
      </c>
      <c r="I11" s="75">
        <v>371000</v>
      </c>
      <c r="J11" s="75">
        <v>371000</v>
      </c>
      <c r="K11" s="75">
        <v>371000</v>
      </c>
      <c r="L11" s="75">
        <v>371000</v>
      </c>
      <c r="M11" s="75">
        <v>371000</v>
      </c>
      <c r="N11" s="75">
        <v>371000</v>
      </c>
      <c r="O11" s="54" t="s">
        <v>276</v>
      </c>
    </row>
    <row r="12" spans="1:15" ht="12.75" customHeight="1" x14ac:dyDescent="0.25">
      <c r="A12" s="70"/>
      <c r="B12" s="204" t="s">
        <v>58</v>
      </c>
      <c r="C12" s="204"/>
      <c r="D12" s="204"/>
      <c r="E12" s="204"/>
      <c r="F12" s="204"/>
      <c r="G12" s="204"/>
      <c r="H12" s="71">
        <f>SUM(H9:H11)</f>
        <v>371000</v>
      </c>
      <c r="I12" s="71">
        <f>SUM(I9:I11)</f>
        <v>553000</v>
      </c>
      <c r="J12" s="71">
        <f t="shared" ref="J12:K12" si="2">SUM(J9:J11)</f>
        <v>560280</v>
      </c>
      <c r="K12" s="71">
        <f t="shared" si="2"/>
        <v>567851.19999999995</v>
      </c>
      <c r="L12" s="71">
        <f>SUM(L9:L11)</f>
        <v>575725.24800000002</v>
      </c>
      <c r="M12" s="71">
        <f>SUM(M9:M11)</f>
        <v>583914.25792</v>
      </c>
      <c r="N12" s="71">
        <f>SUM(N9:N11)</f>
        <v>592430.82823680004</v>
      </c>
    </row>
    <row r="13" spans="1:15" ht="14.25" customHeight="1" x14ac:dyDescent="0.25">
      <c r="A13" s="77">
        <v>140</v>
      </c>
      <c r="B13" s="210" t="s">
        <v>59</v>
      </c>
      <c r="C13" s="210"/>
      <c r="D13" s="210"/>
      <c r="E13" s="210"/>
      <c r="F13" s="210"/>
      <c r="G13" s="210"/>
      <c r="H13" s="73">
        <v>200000</v>
      </c>
      <c r="I13" s="73">
        <f>H13*116%</f>
        <v>231999.99999999997</v>
      </c>
      <c r="J13" s="73">
        <f>I13*115%</f>
        <v>266799.99999999994</v>
      </c>
      <c r="K13" s="78">
        <f>J13*109%</f>
        <v>290811.99999999994</v>
      </c>
      <c r="L13" s="69">
        <f>K13*105%</f>
        <v>305352.59999999998</v>
      </c>
      <c r="M13" s="69">
        <f>L13*105%</f>
        <v>320620.23</v>
      </c>
      <c r="N13" s="69">
        <f>M13*105%</f>
        <v>336651.2415</v>
      </c>
      <c r="O13" s="54" t="s">
        <v>261</v>
      </c>
    </row>
    <row r="14" spans="1:15" ht="14.25" customHeight="1" x14ac:dyDescent="0.25">
      <c r="A14" s="79">
        <v>210</v>
      </c>
      <c r="B14" s="208" t="s">
        <v>60</v>
      </c>
      <c r="C14" s="208"/>
      <c r="D14" s="208"/>
      <c r="E14" s="208"/>
      <c r="F14" s="208"/>
      <c r="G14" s="208"/>
      <c r="H14" s="80">
        <f t="shared" ref="H14" si="3">(H13+H12+H7)*0.0765</f>
        <v>145313.79873119999</v>
      </c>
      <c r="I14" s="80">
        <f t="shared" ref="I14:N14" si="4">(I13+I12+I7)*0.0765</f>
        <v>184255.17965999999</v>
      </c>
      <c r="J14" s="80">
        <f t="shared" si="4"/>
        <v>202106.85551999998</v>
      </c>
      <c r="K14" s="80">
        <f t="shared" si="4"/>
        <v>216867.31326</v>
      </c>
      <c r="L14" s="80">
        <f t="shared" si="4"/>
        <v>228982.01987700001</v>
      </c>
      <c r="M14" s="80">
        <f t="shared" si="4"/>
        <v>239277.49482123001</v>
      </c>
      <c r="N14" s="80">
        <f t="shared" si="4"/>
        <v>248226.55390347569</v>
      </c>
    </row>
    <row r="15" spans="1:15" ht="14.25" customHeight="1" x14ac:dyDescent="0.25">
      <c r="A15" s="77">
        <v>220</v>
      </c>
      <c r="B15" s="210" t="s">
        <v>247</v>
      </c>
      <c r="C15" s="210"/>
      <c r="D15" s="210"/>
      <c r="E15" s="210"/>
      <c r="F15" s="210"/>
      <c r="G15" s="210"/>
      <c r="H15" s="73"/>
      <c r="I15" s="73"/>
      <c r="J15" s="73"/>
      <c r="K15" s="73"/>
      <c r="L15" s="73"/>
      <c r="M15" s="73"/>
      <c r="N15" s="73"/>
      <c r="O15" s="54" t="s">
        <v>290</v>
      </c>
    </row>
    <row r="16" spans="1:15" ht="13.5" customHeight="1" x14ac:dyDescent="0.25">
      <c r="A16" s="77">
        <v>230</v>
      </c>
      <c r="B16" s="210" t="s">
        <v>61</v>
      </c>
      <c r="C16" s="210"/>
      <c r="D16" s="210"/>
      <c r="E16" s="210"/>
      <c r="F16" s="210"/>
      <c r="G16" s="210"/>
      <c r="H16" s="81"/>
      <c r="I16" s="81"/>
      <c r="J16" s="81"/>
      <c r="K16" s="81"/>
      <c r="L16" s="81"/>
      <c r="M16" s="81"/>
      <c r="N16" s="81"/>
    </row>
    <row r="17" spans="1:15" ht="13.5" customHeight="1" x14ac:dyDescent="0.25">
      <c r="A17" s="106"/>
      <c r="B17" s="202" t="s">
        <v>62</v>
      </c>
      <c r="C17" s="202"/>
      <c r="D17" s="202"/>
      <c r="E17" s="202"/>
      <c r="F17" s="202"/>
      <c r="G17" s="202"/>
      <c r="H17" s="67">
        <v>138000</v>
      </c>
      <c r="I17" s="75">
        <v>193200</v>
      </c>
      <c r="J17" s="75">
        <v>223200</v>
      </c>
      <c r="K17" s="75">
        <v>237600</v>
      </c>
      <c r="L17" s="75">
        <v>244800</v>
      </c>
      <c r="M17" s="75">
        <v>255000</v>
      </c>
      <c r="N17" s="75">
        <v>255000</v>
      </c>
      <c r="O17" s="54" t="s">
        <v>262</v>
      </c>
    </row>
    <row r="18" spans="1:15" ht="13.5" customHeight="1" x14ac:dyDescent="0.25">
      <c r="A18" s="106"/>
      <c r="B18" s="202" t="s">
        <v>63</v>
      </c>
      <c r="C18" s="202"/>
      <c r="D18" s="202"/>
      <c r="E18" s="202"/>
      <c r="F18" s="202"/>
      <c r="G18" s="202"/>
      <c r="H18" s="67">
        <v>5000</v>
      </c>
      <c r="I18" s="67">
        <f>H18/13*15</f>
        <v>5769.2307692307695</v>
      </c>
      <c r="J18" s="67">
        <f>I18/15*17</f>
        <v>6538.461538461539</v>
      </c>
      <c r="K18" s="67">
        <f>J18/17*18</f>
        <v>6923.0769230769238</v>
      </c>
      <c r="L18" s="67">
        <f>K18*N1</f>
        <v>7061.5384615384628</v>
      </c>
      <c r="M18" s="67">
        <f>L18*N1</f>
        <v>7202.7692307692323</v>
      </c>
      <c r="N18" s="67">
        <f>M18*N1</f>
        <v>7346.8246153846167</v>
      </c>
      <c r="O18" s="54" t="s">
        <v>260</v>
      </c>
    </row>
    <row r="19" spans="1:15" ht="12.75" customHeight="1" x14ac:dyDescent="0.25">
      <c r="A19" s="70"/>
      <c r="B19" s="204" t="s">
        <v>64</v>
      </c>
      <c r="C19" s="204"/>
      <c r="D19" s="204"/>
      <c r="E19" s="204"/>
      <c r="F19" s="204"/>
      <c r="G19" s="204"/>
      <c r="H19" s="71">
        <f t="shared" ref="H19" si="5">SUM(H16:H18)</f>
        <v>143000</v>
      </c>
      <c r="I19" s="71">
        <f t="shared" ref="I19:N19" si="6">SUM(I16:I18)</f>
        <v>198969.23076923078</v>
      </c>
      <c r="J19" s="71">
        <f t="shared" si="6"/>
        <v>229738.46153846153</v>
      </c>
      <c r="K19" s="82">
        <f t="shared" si="6"/>
        <v>244523.07692307694</v>
      </c>
      <c r="L19" s="82">
        <f t="shared" si="6"/>
        <v>251861.53846153847</v>
      </c>
      <c r="M19" s="82">
        <f t="shared" si="6"/>
        <v>262202.76923076925</v>
      </c>
      <c r="N19" s="82">
        <f t="shared" si="6"/>
        <v>262346.82461538463</v>
      </c>
    </row>
    <row r="20" spans="1:15" ht="14.25" customHeight="1" x14ac:dyDescent="0.25">
      <c r="A20" s="79">
        <v>240</v>
      </c>
      <c r="B20" s="208" t="s">
        <v>65</v>
      </c>
      <c r="C20" s="208"/>
      <c r="D20" s="208"/>
      <c r="E20" s="208"/>
      <c r="F20" s="208"/>
      <c r="G20" s="208"/>
      <c r="H20" s="83">
        <v>68776</v>
      </c>
      <c r="I20" s="83">
        <f t="shared" ref="I20:N20" si="7">((I13+I12+I7)/100)*3.73</f>
        <v>89839.453611999998</v>
      </c>
      <c r="J20" s="83">
        <f t="shared" si="7"/>
        <v>98543.604063999985</v>
      </c>
      <c r="K20" s="83">
        <f t="shared" si="7"/>
        <v>105740.533132</v>
      </c>
      <c r="L20" s="83">
        <f t="shared" si="7"/>
        <v>111647.4423714</v>
      </c>
      <c r="M20" s="83">
        <f t="shared" si="7"/>
        <v>116667.32754028602</v>
      </c>
      <c r="N20" s="83">
        <f t="shared" si="7"/>
        <v>121030.72497515874</v>
      </c>
      <c r="O20" s="54" t="s">
        <v>265</v>
      </c>
    </row>
    <row r="21" spans="1:15" ht="15.75" customHeight="1" x14ac:dyDescent="0.25">
      <c r="A21" s="84">
        <v>250</v>
      </c>
      <c r="B21" s="214" t="s">
        <v>66</v>
      </c>
      <c r="C21" s="214"/>
      <c r="D21" s="214"/>
      <c r="E21" s="214"/>
      <c r="F21" s="214"/>
      <c r="G21" s="214"/>
      <c r="H21" s="83">
        <v>3135</v>
      </c>
      <c r="I21" s="83">
        <f>(7000*15)*2.7%</f>
        <v>2835.0000000000005</v>
      </c>
      <c r="J21" s="83">
        <f>(7000*17)*2.7%</f>
        <v>3213.0000000000005</v>
      </c>
      <c r="K21" s="83">
        <f>(7000*18)*2.7%</f>
        <v>3402.0000000000005</v>
      </c>
      <c r="L21" s="83">
        <f>(7000*18)*2.7%</f>
        <v>3402.0000000000005</v>
      </c>
      <c r="M21" s="83">
        <f>(7000*18)*2.7%</f>
        <v>3402.0000000000005</v>
      </c>
      <c r="N21" s="83">
        <f>(7000*18)*2.7%</f>
        <v>3402.0000000000005</v>
      </c>
      <c r="O21" s="54" t="s">
        <v>266</v>
      </c>
    </row>
    <row r="22" spans="1:15" ht="12.75" customHeight="1" x14ac:dyDescent="0.25">
      <c r="A22" s="106">
        <v>312</v>
      </c>
      <c r="B22" s="213" t="s">
        <v>67</v>
      </c>
      <c r="C22" s="213"/>
      <c r="D22" s="213"/>
      <c r="E22" s="213"/>
      <c r="F22" s="213"/>
      <c r="G22" s="213"/>
      <c r="H22" s="85"/>
      <c r="I22" s="85"/>
      <c r="J22" s="85"/>
      <c r="K22" s="86"/>
      <c r="L22" s="85"/>
      <c r="M22" s="85"/>
      <c r="N22" s="85"/>
      <c r="O22" s="54" t="s">
        <v>267</v>
      </c>
    </row>
    <row r="23" spans="1:15" ht="12.75" customHeight="1" x14ac:dyDescent="0.25">
      <c r="A23" s="87"/>
      <c r="B23" s="202" t="s">
        <v>68</v>
      </c>
      <c r="C23" s="202"/>
      <c r="D23" s="202"/>
      <c r="E23" s="202"/>
      <c r="F23" s="202"/>
      <c r="G23" s="202"/>
      <c r="H23" s="67">
        <v>5000</v>
      </c>
      <c r="I23" s="67">
        <f t="shared" ref="I23:N25" si="8">H23*$N$1</f>
        <v>5100</v>
      </c>
      <c r="J23" s="67">
        <f t="shared" si="8"/>
        <v>5202</v>
      </c>
      <c r="K23" s="67">
        <f t="shared" si="8"/>
        <v>5306.04</v>
      </c>
      <c r="L23" s="67">
        <f t="shared" si="8"/>
        <v>5412.1607999999997</v>
      </c>
      <c r="M23" s="67">
        <f t="shared" si="8"/>
        <v>5520.4040159999995</v>
      </c>
      <c r="N23" s="67">
        <f t="shared" si="8"/>
        <v>5630.8120963199999</v>
      </c>
    </row>
    <row r="24" spans="1:15" ht="12.75" customHeight="1" x14ac:dyDescent="0.25">
      <c r="A24" s="87"/>
      <c r="B24" s="202" t="s">
        <v>69</v>
      </c>
      <c r="C24" s="202"/>
      <c r="D24" s="202"/>
      <c r="E24" s="202"/>
      <c r="F24" s="202"/>
      <c r="G24" s="202"/>
      <c r="H24" s="67">
        <v>40720</v>
      </c>
      <c r="I24" s="67">
        <f t="shared" si="8"/>
        <v>41534.400000000001</v>
      </c>
      <c r="J24" s="67">
        <f t="shared" si="8"/>
        <v>42365.088000000003</v>
      </c>
      <c r="K24" s="67">
        <f t="shared" si="8"/>
        <v>43212.389760000005</v>
      </c>
      <c r="L24" s="67">
        <f t="shared" si="8"/>
        <v>44076.63755520001</v>
      </c>
      <c r="M24" s="67">
        <f t="shared" si="8"/>
        <v>44958.170306304011</v>
      </c>
      <c r="N24" s="67">
        <f t="shared" si="8"/>
        <v>45857.333712430089</v>
      </c>
    </row>
    <row r="25" spans="1:15" ht="12.75" customHeight="1" x14ac:dyDescent="0.25">
      <c r="A25" s="88"/>
      <c r="B25" s="202" t="s">
        <v>70</v>
      </c>
      <c r="C25" s="202"/>
      <c r="D25" s="202"/>
      <c r="E25" s="202"/>
      <c r="F25" s="202"/>
      <c r="G25" s="202"/>
      <c r="H25" s="67">
        <v>2295</v>
      </c>
      <c r="I25" s="67">
        <f t="shared" si="8"/>
        <v>2340.9</v>
      </c>
      <c r="J25" s="67">
        <f t="shared" si="8"/>
        <v>2387.7180000000003</v>
      </c>
      <c r="K25" s="67">
        <f t="shared" si="8"/>
        <v>2435.4723600000002</v>
      </c>
      <c r="L25" s="67">
        <f t="shared" si="8"/>
        <v>2484.1818072000001</v>
      </c>
      <c r="M25" s="67">
        <f t="shared" si="8"/>
        <v>2533.8654433440001</v>
      </c>
      <c r="N25" s="67">
        <f t="shared" si="8"/>
        <v>2584.5427522108803</v>
      </c>
    </row>
    <row r="26" spans="1:15" ht="12.75" customHeight="1" x14ac:dyDescent="0.25">
      <c r="A26" s="70"/>
      <c r="B26" s="204" t="s">
        <v>71</v>
      </c>
      <c r="C26" s="204"/>
      <c r="D26" s="204"/>
      <c r="E26" s="204"/>
      <c r="F26" s="204"/>
      <c r="G26" s="204"/>
      <c r="H26" s="71">
        <f t="shared" ref="H26" si="9">SUM(H23:H25)</f>
        <v>48015</v>
      </c>
      <c r="I26" s="71">
        <f t="shared" ref="I26:N26" si="10">SUM(I23:I25)</f>
        <v>48975.3</v>
      </c>
      <c r="J26" s="71">
        <f t="shared" si="10"/>
        <v>49954.806000000004</v>
      </c>
      <c r="K26" s="71">
        <f t="shared" si="10"/>
        <v>50953.902120000006</v>
      </c>
      <c r="L26" s="71">
        <f t="shared" si="10"/>
        <v>51972.98016240001</v>
      </c>
      <c r="M26" s="71">
        <f t="shared" si="10"/>
        <v>53012.439765648014</v>
      </c>
      <c r="N26" s="71">
        <f t="shared" si="10"/>
        <v>54072.688560960967</v>
      </c>
    </row>
    <row r="27" spans="1:15" ht="14.25" customHeight="1" x14ac:dyDescent="0.25">
      <c r="A27" s="79">
        <v>314</v>
      </c>
      <c r="B27" s="208" t="s">
        <v>72</v>
      </c>
      <c r="C27" s="208"/>
      <c r="D27" s="208"/>
      <c r="E27" s="208"/>
      <c r="F27" s="208"/>
      <c r="G27" s="208"/>
      <c r="H27" s="89">
        <v>15000</v>
      </c>
      <c r="I27" s="89">
        <v>15000</v>
      </c>
      <c r="J27" s="89">
        <v>15000</v>
      </c>
      <c r="K27" s="89">
        <v>15000</v>
      </c>
      <c r="L27" s="89">
        <v>15000</v>
      </c>
      <c r="M27" s="89">
        <v>15000</v>
      </c>
      <c r="N27" s="89">
        <v>15000</v>
      </c>
      <c r="O27" s="54" t="s">
        <v>263</v>
      </c>
    </row>
    <row r="28" spans="1:15" ht="14.25" customHeight="1" x14ac:dyDescent="0.25">
      <c r="A28" s="79">
        <v>320</v>
      </c>
      <c r="B28" s="208" t="s">
        <v>73</v>
      </c>
      <c r="C28" s="208"/>
      <c r="D28" s="208"/>
      <c r="E28" s="208"/>
      <c r="F28" s="208"/>
      <c r="G28" s="208"/>
      <c r="H28" s="80">
        <v>23422</v>
      </c>
      <c r="I28" s="80">
        <f t="shared" ref="I28:N32" si="11">H28*$N$1</f>
        <v>23890.44</v>
      </c>
      <c r="J28" s="80">
        <f t="shared" si="11"/>
        <v>24368.248799999998</v>
      </c>
      <c r="K28" s="80">
        <f t="shared" si="11"/>
        <v>24855.613775999998</v>
      </c>
      <c r="L28" s="80">
        <f t="shared" si="11"/>
        <v>25352.72605152</v>
      </c>
      <c r="M28" s="80">
        <f t="shared" si="11"/>
        <v>25859.7805725504</v>
      </c>
      <c r="N28" s="80">
        <f t="shared" si="11"/>
        <v>26376.976184001407</v>
      </c>
      <c r="O28" s="54" t="s">
        <v>268</v>
      </c>
    </row>
    <row r="29" spans="1:15" ht="13.15" x14ac:dyDescent="0.25">
      <c r="A29" s="79">
        <v>400</v>
      </c>
      <c r="B29" s="208" t="s">
        <v>74</v>
      </c>
      <c r="C29" s="208"/>
      <c r="D29" s="208"/>
      <c r="E29" s="208"/>
      <c r="F29" s="208"/>
      <c r="G29" s="208"/>
      <c r="H29" s="80">
        <v>8590</v>
      </c>
      <c r="I29" s="80">
        <f t="shared" si="11"/>
        <v>8761.7999999999993</v>
      </c>
      <c r="J29" s="80">
        <f t="shared" si="11"/>
        <v>8937.0360000000001</v>
      </c>
      <c r="K29" s="80">
        <f t="shared" si="11"/>
        <v>9115.7767199999998</v>
      </c>
      <c r="L29" s="80">
        <f t="shared" si="11"/>
        <v>9298.0922544000005</v>
      </c>
      <c r="M29" s="80">
        <f t="shared" si="11"/>
        <v>9484.0540994880012</v>
      </c>
      <c r="N29" s="80">
        <f t="shared" si="11"/>
        <v>9673.7351814777612</v>
      </c>
      <c r="O29" s="54" t="s">
        <v>269</v>
      </c>
    </row>
    <row r="30" spans="1:15" ht="13.15" x14ac:dyDescent="0.25">
      <c r="A30" s="79">
        <v>410</v>
      </c>
      <c r="B30" s="209" t="s">
        <v>157</v>
      </c>
      <c r="C30" s="209"/>
      <c r="D30" s="209"/>
      <c r="E30" s="209"/>
      <c r="F30" s="209"/>
      <c r="G30" s="209"/>
      <c r="H30" s="90">
        <v>21500</v>
      </c>
      <c r="I30" s="80">
        <f t="shared" si="11"/>
        <v>21930</v>
      </c>
      <c r="J30" s="80">
        <f t="shared" si="11"/>
        <v>22368.600000000002</v>
      </c>
      <c r="K30" s="80">
        <f t="shared" si="11"/>
        <v>22815.972000000002</v>
      </c>
      <c r="L30" s="80">
        <f t="shared" si="11"/>
        <v>23272.291440000001</v>
      </c>
      <c r="M30" s="80">
        <f t="shared" si="11"/>
        <v>23737.7372688</v>
      </c>
      <c r="N30" s="80">
        <f t="shared" si="11"/>
        <v>24212.492014176001</v>
      </c>
      <c r="O30" s="54" t="s">
        <v>270</v>
      </c>
    </row>
    <row r="31" spans="1:15" ht="13.5" customHeight="1" x14ac:dyDescent="0.25">
      <c r="A31" s="79">
        <v>411</v>
      </c>
      <c r="B31" s="208" t="s">
        <v>75</v>
      </c>
      <c r="C31" s="208"/>
      <c r="D31" s="208"/>
      <c r="E31" s="208"/>
      <c r="F31" s="208"/>
      <c r="G31" s="208"/>
      <c r="H31" s="80">
        <v>900</v>
      </c>
      <c r="I31" s="80">
        <f t="shared" si="11"/>
        <v>918</v>
      </c>
      <c r="J31" s="80">
        <f t="shared" si="11"/>
        <v>936.36</v>
      </c>
      <c r="K31" s="80">
        <f t="shared" si="11"/>
        <v>955.08720000000005</v>
      </c>
      <c r="L31" s="80">
        <f t="shared" si="11"/>
        <v>974.18894400000011</v>
      </c>
      <c r="M31" s="80">
        <f t="shared" si="11"/>
        <v>993.67272288000015</v>
      </c>
      <c r="N31" s="80">
        <f t="shared" si="11"/>
        <v>1013.5461773376002</v>
      </c>
      <c r="O31" s="54" t="s">
        <v>271</v>
      </c>
    </row>
    <row r="32" spans="1:15" ht="14.25" customHeight="1" x14ac:dyDescent="0.25">
      <c r="A32" s="79">
        <v>412</v>
      </c>
      <c r="B32" s="208" t="s">
        <v>76</v>
      </c>
      <c r="C32" s="208"/>
      <c r="D32" s="208"/>
      <c r="E32" s="208"/>
      <c r="F32" s="208"/>
      <c r="G32" s="208"/>
      <c r="H32" s="80">
        <v>900</v>
      </c>
      <c r="I32" s="80">
        <f t="shared" si="11"/>
        <v>918</v>
      </c>
      <c r="J32" s="80">
        <f t="shared" si="11"/>
        <v>936.36</v>
      </c>
      <c r="K32" s="80">
        <f t="shared" si="11"/>
        <v>955.08720000000005</v>
      </c>
      <c r="L32" s="80">
        <f t="shared" si="11"/>
        <v>974.18894400000011</v>
      </c>
      <c r="M32" s="80">
        <f t="shared" si="11"/>
        <v>993.67272288000015</v>
      </c>
      <c r="N32" s="80">
        <f t="shared" si="11"/>
        <v>1013.5461773376002</v>
      </c>
      <c r="O32" s="54" t="s">
        <v>272</v>
      </c>
    </row>
    <row r="33" spans="1:15" ht="13.15" x14ac:dyDescent="0.25">
      <c r="A33" s="77">
        <v>430</v>
      </c>
      <c r="B33" s="210" t="s">
        <v>77</v>
      </c>
      <c r="C33" s="210"/>
      <c r="D33" s="210"/>
      <c r="E33" s="210"/>
      <c r="F33" s="210"/>
      <c r="G33" s="210"/>
      <c r="H33" s="73"/>
      <c r="I33" s="73"/>
      <c r="J33" s="73"/>
      <c r="K33" s="73"/>
      <c r="L33" s="73"/>
      <c r="M33" s="73"/>
      <c r="N33" s="73"/>
      <c r="O33" s="54" t="s">
        <v>273</v>
      </c>
    </row>
    <row r="34" spans="1:15" ht="12.75" customHeight="1" x14ac:dyDescent="0.25">
      <c r="A34" s="66" t="s">
        <v>55</v>
      </c>
      <c r="B34" s="202" t="s">
        <v>78</v>
      </c>
      <c r="C34" s="202"/>
      <c r="D34" s="202"/>
      <c r="E34" s="202"/>
      <c r="F34" s="202"/>
      <c r="G34" s="202"/>
      <c r="H34" s="67">
        <v>38000</v>
      </c>
      <c r="I34" s="67">
        <f t="shared" ref="I34:N38" si="12">H34*$N$1</f>
        <v>38760</v>
      </c>
      <c r="J34" s="67">
        <f t="shared" si="12"/>
        <v>39535.199999999997</v>
      </c>
      <c r="K34" s="67">
        <f t="shared" si="12"/>
        <v>40325.903999999995</v>
      </c>
      <c r="L34" s="67">
        <f t="shared" si="12"/>
        <v>41132.422079999997</v>
      </c>
      <c r="M34" s="67">
        <f t="shared" si="12"/>
        <v>41955.070521599999</v>
      </c>
      <c r="N34" s="67">
        <f t="shared" si="12"/>
        <v>42794.171932031997</v>
      </c>
    </row>
    <row r="35" spans="1:15" ht="12.75" customHeight="1" x14ac:dyDescent="0.25">
      <c r="A35" s="66" t="s">
        <v>50</v>
      </c>
      <c r="B35" s="202" t="s">
        <v>79</v>
      </c>
      <c r="C35" s="202"/>
      <c r="D35" s="202"/>
      <c r="E35" s="202"/>
      <c r="F35" s="202"/>
      <c r="G35" s="202"/>
      <c r="H35" s="67">
        <v>13400</v>
      </c>
      <c r="I35" s="67">
        <f t="shared" si="12"/>
        <v>13668</v>
      </c>
      <c r="J35" s="67">
        <f t="shared" si="12"/>
        <v>13941.36</v>
      </c>
      <c r="K35" s="67">
        <f t="shared" si="12"/>
        <v>14220.1872</v>
      </c>
      <c r="L35" s="67">
        <f t="shared" si="12"/>
        <v>14504.590944000001</v>
      </c>
      <c r="M35" s="67">
        <f t="shared" si="12"/>
        <v>14794.682762880002</v>
      </c>
      <c r="N35" s="67">
        <f t="shared" si="12"/>
        <v>15090.576418137602</v>
      </c>
    </row>
    <row r="36" spans="1:15" ht="12.75" customHeight="1" x14ac:dyDescent="0.25">
      <c r="A36" s="66" t="s">
        <v>56</v>
      </c>
      <c r="B36" s="202" t="s">
        <v>80</v>
      </c>
      <c r="C36" s="202"/>
      <c r="D36" s="202"/>
      <c r="E36" s="202"/>
      <c r="F36" s="202"/>
      <c r="G36" s="202"/>
      <c r="H36" s="67">
        <v>14025</v>
      </c>
      <c r="I36" s="67">
        <f t="shared" si="12"/>
        <v>14305.5</v>
      </c>
      <c r="J36" s="67">
        <f t="shared" si="12"/>
        <v>14591.61</v>
      </c>
      <c r="K36" s="67">
        <f t="shared" si="12"/>
        <v>14883.442200000001</v>
      </c>
      <c r="L36" s="67">
        <f t="shared" si="12"/>
        <v>15181.111044000001</v>
      </c>
      <c r="M36" s="67">
        <f t="shared" si="12"/>
        <v>15484.733264880002</v>
      </c>
      <c r="N36" s="67">
        <f t="shared" si="12"/>
        <v>15794.427930177602</v>
      </c>
    </row>
    <row r="37" spans="1:15" ht="12.75" customHeight="1" x14ac:dyDescent="0.25">
      <c r="A37" s="66" t="s">
        <v>81</v>
      </c>
      <c r="B37" s="202" t="s">
        <v>82</v>
      </c>
      <c r="C37" s="202"/>
      <c r="D37" s="202"/>
      <c r="E37" s="202"/>
      <c r="F37" s="202"/>
      <c r="G37" s="202"/>
      <c r="H37" s="67">
        <v>1000</v>
      </c>
      <c r="I37" s="67">
        <f t="shared" si="12"/>
        <v>1020</v>
      </c>
      <c r="J37" s="67">
        <f t="shared" si="12"/>
        <v>1040.4000000000001</v>
      </c>
      <c r="K37" s="67">
        <f t="shared" si="12"/>
        <v>1061.2080000000001</v>
      </c>
      <c r="L37" s="67">
        <f t="shared" si="12"/>
        <v>1082.4321600000001</v>
      </c>
      <c r="M37" s="67">
        <f t="shared" si="12"/>
        <v>1104.0808032</v>
      </c>
      <c r="N37" s="67">
        <f t="shared" si="12"/>
        <v>1126.1624192639999</v>
      </c>
    </row>
    <row r="38" spans="1:15" ht="12.75" customHeight="1" x14ac:dyDescent="0.25">
      <c r="A38" s="66" t="s">
        <v>83</v>
      </c>
      <c r="B38" s="202" t="s">
        <v>84</v>
      </c>
      <c r="C38" s="202"/>
      <c r="D38" s="202"/>
      <c r="E38" s="202"/>
      <c r="F38" s="202"/>
      <c r="G38" s="202"/>
      <c r="H38" s="91">
        <v>4700</v>
      </c>
      <c r="I38" s="67">
        <f t="shared" si="12"/>
        <v>4794</v>
      </c>
      <c r="J38" s="67">
        <f t="shared" si="12"/>
        <v>4889.88</v>
      </c>
      <c r="K38" s="67">
        <f t="shared" si="12"/>
        <v>4987.6776</v>
      </c>
      <c r="L38" s="67">
        <f t="shared" si="12"/>
        <v>5087.4311520000001</v>
      </c>
      <c r="M38" s="67">
        <f t="shared" si="12"/>
        <v>5189.1797750400001</v>
      </c>
      <c r="N38" s="67">
        <f t="shared" si="12"/>
        <v>5292.9633705408005</v>
      </c>
    </row>
    <row r="39" spans="1:15" ht="12.75" customHeight="1" x14ac:dyDescent="0.25">
      <c r="A39" s="70"/>
      <c r="B39" s="204" t="s">
        <v>85</v>
      </c>
      <c r="C39" s="204"/>
      <c r="D39" s="204"/>
      <c r="E39" s="204"/>
      <c r="F39" s="204"/>
      <c r="G39" s="204"/>
      <c r="H39" s="71">
        <f t="shared" ref="H39" si="13">SUM(H34:H38)</f>
        <v>71125</v>
      </c>
      <c r="I39" s="71">
        <f t="shared" ref="I39:N39" si="14">SUM(I34:I38)</f>
        <v>72547.5</v>
      </c>
      <c r="J39" s="71">
        <f t="shared" si="14"/>
        <v>73998.45</v>
      </c>
      <c r="K39" s="71">
        <f t="shared" si="14"/>
        <v>75478.418999999994</v>
      </c>
      <c r="L39" s="71">
        <f t="shared" si="14"/>
        <v>76987.987380000006</v>
      </c>
      <c r="M39" s="71">
        <f t="shared" si="14"/>
        <v>78527.747127600014</v>
      </c>
      <c r="N39" s="71">
        <f t="shared" si="14"/>
        <v>80098.302070152</v>
      </c>
    </row>
    <row r="40" spans="1:15" ht="12.75" customHeight="1" x14ac:dyDescent="0.25">
      <c r="A40" s="77">
        <v>440</v>
      </c>
      <c r="B40" s="210" t="s">
        <v>86</v>
      </c>
      <c r="C40" s="210"/>
      <c r="D40" s="210"/>
      <c r="E40" s="210"/>
      <c r="F40" s="210"/>
      <c r="G40" s="210"/>
      <c r="H40" s="67"/>
      <c r="I40" s="67"/>
      <c r="J40" s="67"/>
      <c r="K40" s="67"/>
      <c r="L40" s="67"/>
      <c r="M40" s="67"/>
      <c r="N40" s="67"/>
      <c r="O40" s="54" t="s">
        <v>274</v>
      </c>
    </row>
    <row r="41" spans="1:15" ht="12.75" customHeight="1" x14ac:dyDescent="0.25">
      <c r="A41" s="106"/>
      <c r="B41" s="202" t="s">
        <v>87</v>
      </c>
      <c r="C41" s="202"/>
      <c r="D41" s="202"/>
      <c r="E41" s="202"/>
      <c r="F41" s="202"/>
      <c r="G41" s="202"/>
      <c r="H41" s="67">
        <v>4500</v>
      </c>
      <c r="I41" s="67">
        <f t="shared" ref="I41:N45" si="15">H41*$N$1</f>
        <v>4590</v>
      </c>
      <c r="J41" s="67">
        <f t="shared" si="15"/>
        <v>4681.8</v>
      </c>
      <c r="K41" s="67">
        <f t="shared" si="15"/>
        <v>4775.4360000000006</v>
      </c>
      <c r="L41" s="67">
        <f t="shared" si="15"/>
        <v>4870.9447200000004</v>
      </c>
      <c r="M41" s="67">
        <f t="shared" si="15"/>
        <v>4968.3636144000002</v>
      </c>
      <c r="N41" s="67">
        <f t="shared" si="15"/>
        <v>5067.7308866880003</v>
      </c>
    </row>
    <row r="42" spans="1:15" ht="13.5" customHeight="1" x14ac:dyDescent="0.25">
      <c r="A42" s="106"/>
      <c r="B42" s="202" t="s">
        <v>88</v>
      </c>
      <c r="C42" s="202"/>
      <c r="D42" s="202"/>
      <c r="E42" s="202"/>
      <c r="F42" s="202"/>
      <c r="G42" s="202"/>
      <c r="H42" s="67">
        <v>6000</v>
      </c>
      <c r="I42" s="67">
        <f t="shared" si="15"/>
        <v>6120</v>
      </c>
      <c r="J42" s="67">
        <f t="shared" si="15"/>
        <v>6242.4000000000005</v>
      </c>
      <c r="K42" s="67">
        <f t="shared" si="15"/>
        <v>6367.2480000000005</v>
      </c>
      <c r="L42" s="67">
        <f t="shared" si="15"/>
        <v>6494.5929600000009</v>
      </c>
      <c r="M42" s="67">
        <f t="shared" si="15"/>
        <v>6624.4848192000009</v>
      </c>
      <c r="N42" s="67">
        <f t="shared" si="15"/>
        <v>6756.974515584001</v>
      </c>
    </row>
    <row r="43" spans="1:15" ht="13.5" customHeight="1" x14ac:dyDescent="0.25">
      <c r="A43" s="106"/>
      <c r="B43" s="202" t="s">
        <v>89</v>
      </c>
      <c r="C43" s="202"/>
      <c r="D43" s="202"/>
      <c r="E43" s="202"/>
      <c r="F43" s="202"/>
      <c r="G43" s="202"/>
      <c r="H43" s="67">
        <v>300</v>
      </c>
      <c r="I43" s="67">
        <f t="shared" si="15"/>
        <v>306</v>
      </c>
      <c r="J43" s="67">
        <f t="shared" si="15"/>
        <v>312.12</v>
      </c>
      <c r="K43" s="67">
        <f t="shared" si="15"/>
        <v>318.36240000000004</v>
      </c>
      <c r="L43" s="67">
        <f t="shared" si="15"/>
        <v>324.72964800000005</v>
      </c>
      <c r="M43" s="67">
        <f t="shared" si="15"/>
        <v>331.22424096000009</v>
      </c>
      <c r="N43" s="67">
        <f t="shared" si="15"/>
        <v>337.84872577920009</v>
      </c>
    </row>
    <row r="44" spans="1:15" ht="13.15" x14ac:dyDescent="0.25">
      <c r="A44" s="106"/>
      <c r="B44" s="202" t="s">
        <v>90</v>
      </c>
      <c r="C44" s="202"/>
      <c r="D44" s="202"/>
      <c r="E44" s="202"/>
      <c r="F44" s="202"/>
      <c r="G44" s="202"/>
      <c r="H44" s="67">
        <v>6120</v>
      </c>
      <c r="I44" s="67">
        <f t="shared" si="15"/>
        <v>6242.4000000000005</v>
      </c>
      <c r="J44" s="67">
        <f t="shared" si="15"/>
        <v>6367.2480000000005</v>
      </c>
      <c r="K44" s="67">
        <f t="shared" si="15"/>
        <v>6494.5929600000009</v>
      </c>
      <c r="L44" s="67">
        <f t="shared" si="15"/>
        <v>6624.4848192000009</v>
      </c>
      <c r="M44" s="67">
        <f t="shared" si="15"/>
        <v>6756.974515584001</v>
      </c>
      <c r="N44" s="67">
        <f t="shared" si="15"/>
        <v>6892.1140058956807</v>
      </c>
    </row>
    <row r="45" spans="1:15" ht="12.75" customHeight="1" x14ac:dyDescent="0.25">
      <c r="A45" s="88"/>
      <c r="B45" s="202" t="s">
        <v>91</v>
      </c>
      <c r="C45" s="202"/>
      <c r="D45" s="202"/>
      <c r="E45" s="202"/>
      <c r="F45" s="202"/>
      <c r="G45" s="202"/>
      <c r="H45" s="67">
        <v>2040</v>
      </c>
      <c r="I45" s="67">
        <f t="shared" si="15"/>
        <v>2080.8000000000002</v>
      </c>
      <c r="J45" s="67">
        <f t="shared" si="15"/>
        <v>2122.4160000000002</v>
      </c>
      <c r="K45" s="67">
        <f t="shared" si="15"/>
        <v>2164.8643200000001</v>
      </c>
      <c r="L45" s="67">
        <f t="shared" si="15"/>
        <v>2208.1616064</v>
      </c>
      <c r="M45" s="67">
        <f t="shared" si="15"/>
        <v>2252.3248385279999</v>
      </c>
      <c r="N45" s="67">
        <f t="shared" si="15"/>
        <v>2297.3713352985601</v>
      </c>
    </row>
    <row r="46" spans="1:15" ht="12.75" customHeight="1" x14ac:dyDescent="0.25">
      <c r="A46" s="70"/>
      <c r="B46" s="204" t="s">
        <v>92</v>
      </c>
      <c r="C46" s="204"/>
      <c r="D46" s="204"/>
      <c r="E46" s="204"/>
      <c r="F46" s="204"/>
      <c r="G46" s="204"/>
      <c r="H46" s="71">
        <f t="shared" ref="H46" si="16">SUM(H41:H45)</f>
        <v>18960</v>
      </c>
      <c r="I46" s="71">
        <f t="shared" ref="I46:N46" si="17">SUM(I41:I45)</f>
        <v>19339.2</v>
      </c>
      <c r="J46" s="71">
        <f t="shared" si="17"/>
        <v>19725.984000000004</v>
      </c>
      <c r="K46" s="71">
        <f t="shared" si="17"/>
        <v>20120.503680000002</v>
      </c>
      <c r="L46" s="71">
        <f t="shared" si="17"/>
        <v>20522.913753600002</v>
      </c>
      <c r="M46" s="71">
        <f t="shared" si="17"/>
        <v>20933.372028672002</v>
      </c>
      <c r="N46" s="71">
        <f t="shared" si="17"/>
        <v>21352.039469245443</v>
      </c>
    </row>
    <row r="47" spans="1:15" ht="12.75" customHeight="1" x14ac:dyDescent="0.25">
      <c r="A47" s="77">
        <v>450</v>
      </c>
      <c r="B47" s="210" t="s">
        <v>93</v>
      </c>
      <c r="C47" s="210"/>
      <c r="D47" s="210"/>
      <c r="E47" s="210"/>
      <c r="F47" s="210"/>
      <c r="G47" s="210"/>
      <c r="H47" s="73"/>
      <c r="I47" s="73"/>
      <c r="J47" s="73"/>
      <c r="K47" s="73"/>
      <c r="L47" s="73"/>
      <c r="M47" s="73"/>
      <c r="N47" s="73"/>
      <c r="O47" s="54" t="s">
        <v>275</v>
      </c>
    </row>
    <row r="48" spans="1:15" ht="24.75" customHeight="1" x14ac:dyDescent="0.2">
      <c r="A48" s="106"/>
      <c r="B48" s="202" t="s">
        <v>94</v>
      </c>
      <c r="C48" s="202"/>
      <c r="D48" s="202"/>
      <c r="E48" s="202"/>
      <c r="F48" s="202"/>
      <c r="G48" s="202"/>
      <c r="H48" s="67">
        <v>108000</v>
      </c>
      <c r="I48" s="67">
        <f t="shared" ref="I48:N51" si="18">H48*$N$1</f>
        <v>110160</v>
      </c>
      <c r="J48" s="67">
        <f t="shared" si="18"/>
        <v>112363.2</v>
      </c>
      <c r="K48" s="67">
        <f t="shared" si="18"/>
        <v>114610.46399999999</v>
      </c>
      <c r="L48" s="67">
        <f t="shared" si="18"/>
        <v>116902.67327999999</v>
      </c>
      <c r="M48" s="67">
        <f t="shared" si="18"/>
        <v>119240.7267456</v>
      </c>
      <c r="N48" s="67">
        <f t="shared" si="18"/>
        <v>121625.541280512</v>
      </c>
    </row>
    <row r="49" spans="1:252" ht="14.25" customHeight="1" x14ac:dyDescent="0.2">
      <c r="A49" s="106"/>
      <c r="B49" s="202" t="s">
        <v>95</v>
      </c>
      <c r="C49" s="202"/>
      <c r="D49" s="202"/>
      <c r="E49" s="202"/>
      <c r="F49" s="202"/>
      <c r="G49" s="202"/>
      <c r="H49" s="67">
        <v>1795</v>
      </c>
      <c r="I49" s="67">
        <f t="shared" si="18"/>
        <v>1830.9</v>
      </c>
      <c r="J49" s="67">
        <f t="shared" si="18"/>
        <v>1867.518</v>
      </c>
      <c r="K49" s="67">
        <f t="shared" si="18"/>
        <v>1904.8683600000002</v>
      </c>
      <c r="L49" s="67">
        <f t="shared" si="18"/>
        <v>1942.9657272000002</v>
      </c>
      <c r="M49" s="67">
        <f t="shared" si="18"/>
        <v>1981.8250417440001</v>
      </c>
      <c r="N49" s="67">
        <f t="shared" si="18"/>
        <v>2021.4615425788802</v>
      </c>
    </row>
    <row r="50" spans="1:252" ht="13.5" customHeight="1" x14ac:dyDescent="0.2">
      <c r="A50" s="106"/>
      <c r="B50" s="202" t="s">
        <v>96</v>
      </c>
      <c r="C50" s="202"/>
      <c r="D50" s="202"/>
      <c r="E50" s="202"/>
      <c r="F50" s="202"/>
      <c r="G50" s="202"/>
      <c r="H50" s="67">
        <v>9250</v>
      </c>
      <c r="I50" s="67">
        <f t="shared" si="18"/>
        <v>9435</v>
      </c>
      <c r="J50" s="67">
        <f t="shared" si="18"/>
        <v>9623.7000000000007</v>
      </c>
      <c r="K50" s="67">
        <f t="shared" si="18"/>
        <v>9816.1740000000009</v>
      </c>
      <c r="L50" s="67">
        <f t="shared" si="18"/>
        <v>10012.497480000002</v>
      </c>
      <c r="M50" s="67">
        <f t="shared" si="18"/>
        <v>10212.747429600002</v>
      </c>
      <c r="N50" s="67">
        <f t="shared" si="18"/>
        <v>10417.002378192003</v>
      </c>
    </row>
    <row r="51" spans="1:252" ht="12.75" customHeight="1" x14ac:dyDescent="0.2">
      <c r="A51" s="106"/>
      <c r="B51" s="202" t="s">
        <v>97</v>
      </c>
      <c r="C51" s="202"/>
      <c r="D51" s="202"/>
      <c r="E51" s="202"/>
      <c r="F51" s="202"/>
      <c r="G51" s="202"/>
      <c r="H51" s="67">
        <v>1750</v>
      </c>
      <c r="I51" s="67">
        <f t="shared" si="18"/>
        <v>1785</v>
      </c>
      <c r="J51" s="67">
        <f t="shared" si="18"/>
        <v>1820.7</v>
      </c>
      <c r="K51" s="67">
        <f t="shared" si="18"/>
        <v>1857.114</v>
      </c>
      <c r="L51" s="67">
        <f t="shared" si="18"/>
        <v>1894.2562800000001</v>
      </c>
      <c r="M51" s="67">
        <f t="shared" si="18"/>
        <v>1932.1414056000001</v>
      </c>
      <c r="N51" s="67">
        <f t="shared" si="18"/>
        <v>1970.7842337120001</v>
      </c>
    </row>
    <row r="52" spans="1:252" ht="15.75" customHeight="1" x14ac:dyDescent="0.2">
      <c r="A52" s="70"/>
      <c r="B52" s="204" t="s">
        <v>98</v>
      </c>
      <c r="C52" s="204"/>
      <c r="D52" s="204"/>
      <c r="E52" s="204"/>
      <c r="F52" s="204"/>
      <c r="G52" s="204"/>
      <c r="H52" s="92">
        <f t="shared" ref="H52" si="19">SUM(H48:H51)</f>
        <v>120795</v>
      </c>
      <c r="I52" s="92">
        <f t="shared" ref="I52:N52" si="20">SUM(I48:I51)</f>
        <v>123210.9</v>
      </c>
      <c r="J52" s="92">
        <f t="shared" si="20"/>
        <v>125675.11799999999</v>
      </c>
      <c r="K52" s="92">
        <f t="shared" si="20"/>
        <v>128188.62035999999</v>
      </c>
      <c r="L52" s="92">
        <f t="shared" si="20"/>
        <v>130752.3927672</v>
      </c>
      <c r="M52" s="92">
        <f t="shared" si="20"/>
        <v>133367.440622544</v>
      </c>
      <c r="N52" s="92">
        <f t="shared" si="20"/>
        <v>136034.78943499489</v>
      </c>
    </row>
    <row r="53" spans="1:252" ht="12.75" customHeight="1" x14ac:dyDescent="0.2">
      <c r="A53" s="79">
        <v>460</v>
      </c>
      <c r="B53" s="208" t="s">
        <v>99</v>
      </c>
      <c r="C53" s="208"/>
      <c r="D53" s="208"/>
      <c r="E53" s="208"/>
      <c r="F53" s="208"/>
      <c r="G53" s="208"/>
      <c r="H53" s="83">
        <v>77000</v>
      </c>
      <c r="I53" s="80">
        <f t="shared" ref="I53:N56" si="21">H53*$N$1</f>
        <v>78540</v>
      </c>
      <c r="J53" s="80">
        <f t="shared" si="21"/>
        <v>80110.8</v>
      </c>
      <c r="K53" s="80">
        <f t="shared" si="21"/>
        <v>81713.016000000003</v>
      </c>
      <c r="L53" s="80">
        <f t="shared" si="21"/>
        <v>83347.276320000004</v>
      </c>
      <c r="M53" s="80">
        <f t="shared" si="21"/>
        <v>85014.221846400003</v>
      </c>
      <c r="N53" s="80">
        <f t="shared" si="21"/>
        <v>86714.50628332801</v>
      </c>
      <c r="O53" s="54" t="s">
        <v>279</v>
      </c>
    </row>
    <row r="54" spans="1:252" ht="12.75" customHeight="1" x14ac:dyDescent="0.2">
      <c r="A54" s="79">
        <v>461</v>
      </c>
      <c r="B54" s="208" t="s">
        <v>100</v>
      </c>
      <c r="C54" s="208"/>
      <c r="D54" s="208"/>
      <c r="E54" s="208"/>
      <c r="F54" s="208"/>
      <c r="G54" s="208"/>
      <c r="H54" s="83">
        <v>110000</v>
      </c>
      <c r="I54" s="80">
        <v>65000</v>
      </c>
      <c r="J54" s="80">
        <f t="shared" si="21"/>
        <v>66300</v>
      </c>
      <c r="K54" s="80">
        <f t="shared" si="21"/>
        <v>67626</v>
      </c>
      <c r="L54" s="80">
        <f t="shared" si="21"/>
        <v>68978.52</v>
      </c>
      <c r="M54" s="80">
        <f t="shared" si="21"/>
        <v>70358.090400000001</v>
      </c>
      <c r="N54" s="80">
        <f t="shared" si="21"/>
        <v>71765.252208000005</v>
      </c>
      <c r="O54" s="54" t="s">
        <v>280</v>
      </c>
    </row>
    <row r="55" spans="1:252" ht="12.75" customHeight="1" x14ac:dyDescent="0.2">
      <c r="A55" s="79">
        <v>462</v>
      </c>
      <c r="B55" s="208" t="s">
        <v>101</v>
      </c>
      <c r="C55" s="208"/>
      <c r="D55" s="208"/>
      <c r="E55" s="208"/>
      <c r="F55" s="208"/>
      <c r="G55" s="208"/>
      <c r="H55" s="83">
        <v>70000</v>
      </c>
      <c r="I55" s="80">
        <f t="shared" si="21"/>
        <v>71400</v>
      </c>
      <c r="J55" s="80">
        <f t="shared" si="21"/>
        <v>72828</v>
      </c>
      <c r="K55" s="80">
        <f t="shared" si="21"/>
        <v>74284.56</v>
      </c>
      <c r="L55" s="80">
        <f t="shared" si="21"/>
        <v>75770.251199999999</v>
      </c>
      <c r="M55" s="80">
        <f t="shared" si="21"/>
        <v>77285.656224000006</v>
      </c>
      <c r="N55" s="80">
        <f t="shared" si="21"/>
        <v>78831.369348480002</v>
      </c>
      <c r="O55" s="54" t="s">
        <v>281</v>
      </c>
    </row>
    <row r="56" spans="1:252" ht="12.75" customHeight="1" x14ac:dyDescent="0.2">
      <c r="A56" s="79">
        <v>470</v>
      </c>
      <c r="B56" s="208" t="s">
        <v>102</v>
      </c>
      <c r="C56" s="208"/>
      <c r="D56" s="208"/>
      <c r="E56" s="208"/>
      <c r="F56" s="208"/>
      <c r="G56" s="208"/>
      <c r="H56" s="83">
        <v>1300</v>
      </c>
      <c r="I56" s="80">
        <f t="shared" si="21"/>
        <v>1326</v>
      </c>
      <c r="J56" s="80">
        <f t="shared" si="21"/>
        <v>1352.52</v>
      </c>
      <c r="K56" s="80">
        <f t="shared" si="21"/>
        <v>1379.5704000000001</v>
      </c>
      <c r="L56" s="80">
        <f t="shared" si="21"/>
        <v>1407.1618080000001</v>
      </c>
      <c r="M56" s="80">
        <f t="shared" si="21"/>
        <v>1435.3050441600001</v>
      </c>
      <c r="N56" s="80">
        <f t="shared" si="21"/>
        <v>1464.0111450432</v>
      </c>
      <c r="O56" s="54" t="s">
        <v>282</v>
      </c>
    </row>
    <row r="57" spans="1:252" ht="12.75" customHeight="1" x14ac:dyDescent="0.2">
      <c r="A57" s="106">
        <v>490</v>
      </c>
      <c r="B57" s="213" t="s">
        <v>103</v>
      </c>
      <c r="C57" s="213"/>
      <c r="D57" s="213"/>
      <c r="E57" s="213"/>
      <c r="F57" s="213"/>
      <c r="G57" s="213"/>
      <c r="H57" s="73"/>
      <c r="I57" s="73"/>
      <c r="J57" s="73"/>
      <c r="K57" s="73"/>
      <c r="L57" s="73"/>
      <c r="M57" s="73"/>
      <c r="N57" s="73"/>
      <c r="O57" s="54" t="s">
        <v>283</v>
      </c>
    </row>
    <row r="58" spans="1:252" ht="12.75" customHeight="1" x14ac:dyDescent="0.2">
      <c r="A58" s="66" t="s">
        <v>104</v>
      </c>
      <c r="B58" s="202" t="s">
        <v>105</v>
      </c>
      <c r="C58" s="202"/>
      <c r="D58" s="202"/>
      <c r="E58" s="202"/>
      <c r="F58" s="202"/>
      <c r="G58" s="202"/>
      <c r="H58" s="67">
        <v>6000</v>
      </c>
      <c r="I58" s="67">
        <f t="shared" ref="I58:N59" si="22">H58*$N$1</f>
        <v>6120</v>
      </c>
      <c r="J58" s="67">
        <f t="shared" si="22"/>
        <v>6242.4000000000005</v>
      </c>
      <c r="K58" s="67">
        <f t="shared" si="22"/>
        <v>6367.2480000000005</v>
      </c>
      <c r="L58" s="67">
        <f t="shared" si="22"/>
        <v>6494.5929600000009</v>
      </c>
      <c r="M58" s="67">
        <f t="shared" si="22"/>
        <v>6624.4848192000009</v>
      </c>
      <c r="N58" s="67">
        <f t="shared" si="22"/>
        <v>6756.974515584001</v>
      </c>
      <c r="O58" s="74"/>
      <c r="P58" s="74"/>
      <c r="Q58" s="74"/>
      <c r="R58" s="74"/>
      <c r="S58" s="74"/>
      <c r="T58" s="93"/>
      <c r="U58" s="202"/>
      <c r="V58" s="202"/>
      <c r="W58" s="202"/>
      <c r="X58" s="202"/>
      <c r="Y58" s="202"/>
      <c r="Z58" s="202"/>
      <c r="AA58" s="94"/>
      <c r="AB58" s="94"/>
      <c r="AC58" s="95"/>
      <c r="AD58" s="88"/>
      <c r="AE58" s="88"/>
      <c r="AF58" s="67"/>
      <c r="AG58" s="96"/>
      <c r="AH58" s="212"/>
      <c r="AI58" s="202"/>
      <c r="AJ58" s="202"/>
      <c r="AK58" s="202"/>
      <c r="AL58" s="202"/>
      <c r="AM58" s="202"/>
      <c r="AN58" s="94"/>
      <c r="AO58" s="95"/>
      <c r="AP58" s="88"/>
      <c r="AQ58" s="88"/>
      <c r="AR58" s="67"/>
      <c r="AS58" s="96"/>
      <c r="AT58" s="212"/>
      <c r="AU58" s="202"/>
      <c r="AV58" s="202"/>
      <c r="AW58" s="202"/>
      <c r="AX58" s="202"/>
      <c r="AY58" s="202"/>
      <c r="AZ58" s="94"/>
      <c r="BA58" s="95"/>
      <c r="BB58" s="88"/>
      <c r="BC58" s="88"/>
      <c r="BD58" s="67"/>
      <c r="BE58" s="96"/>
      <c r="BF58" s="212"/>
      <c r="BG58" s="202"/>
      <c r="BH58" s="202"/>
      <c r="BI58" s="202"/>
      <c r="BJ58" s="202"/>
      <c r="BK58" s="202"/>
      <c r="BL58" s="94"/>
      <c r="BM58" s="95"/>
      <c r="BN58" s="88"/>
      <c r="BO58" s="88"/>
      <c r="BP58" s="67"/>
      <c r="BQ58" s="96"/>
      <c r="BR58" s="212"/>
      <c r="BS58" s="202"/>
      <c r="BT58" s="202"/>
      <c r="BU58" s="202"/>
      <c r="BV58" s="202"/>
      <c r="BW58" s="202"/>
      <c r="BX58" s="94"/>
      <c r="BY58" s="95"/>
      <c r="BZ58" s="88"/>
      <c r="CA58" s="88"/>
      <c r="CB58" s="67"/>
      <c r="CC58" s="96"/>
      <c r="CD58" s="212"/>
      <c r="CE58" s="202"/>
      <c r="CF58" s="202"/>
      <c r="CG58" s="202"/>
      <c r="CH58" s="202"/>
      <c r="CI58" s="202"/>
      <c r="CJ58" s="94"/>
      <c r="CK58" s="95"/>
      <c r="CL58" s="88"/>
      <c r="CM58" s="88"/>
      <c r="CN58" s="67"/>
      <c r="CO58" s="96"/>
      <c r="CP58" s="212"/>
      <c r="CQ58" s="202"/>
      <c r="CR58" s="202"/>
      <c r="CS58" s="202"/>
      <c r="CT58" s="202"/>
      <c r="CU58" s="202"/>
      <c r="CV58" s="94"/>
      <c r="CW58" s="95"/>
      <c r="CX58" s="88"/>
      <c r="CY58" s="88"/>
      <c r="CZ58" s="67"/>
      <c r="DA58" s="96"/>
      <c r="DB58" s="212"/>
      <c r="DC58" s="202"/>
      <c r="DD58" s="202"/>
      <c r="DE58" s="202"/>
      <c r="DF58" s="202"/>
      <c r="DG58" s="202"/>
      <c r="DH58" s="94"/>
      <c r="DI58" s="95"/>
      <c r="DJ58" s="88"/>
      <c r="DK58" s="88"/>
      <c r="DL58" s="67"/>
      <c r="DM58" s="96"/>
      <c r="DN58" s="212"/>
      <c r="DO58" s="202"/>
      <c r="DP58" s="202"/>
      <c r="DQ58" s="202"/>
      <c r="DR58" s="202"/>
      <c r="DS58" s="202"/>
      <c r="DT58" s="94"/>
      <c r="DU58" s="95"/>
      <c r="DV58" s="88"/>
      <c r="DW58" s="88"/>
      <c r="DX58" s="67"/>
      <c r="DY58" s="96"/>
      <c r="DZ58" s="212"/>
      <c r="EA58" s="202"/>
      <c r="EB58" s="202"/>
      <c r="EC58" s="202"/>
      <c r="ED58" s="202"/>
      <c r="EE58" s="202"/>
      <c r="EF58" s="94"/>
      <c r="EG58" s="95"/>
      <c r="EH58" s="88"/>
      <c r="EI58" s="88"/>
      <c r="EJ58" s="67"/>
      <c r="EK58" s="96"/>
      <c r="EL58" s="212"/>
      <c r="EM58" s="202"/>
      <c r="EN58" s="202"/>
      <c r="EO58" s="202"/>
      <c r="EP58" s="202"/>
      <c r="EQ58" s="202"/>
      <c r="ER58" s="94"/>
      <c r="ES58" s="95"/>
      <c r="ET58" s="88"/>
      <c r="EU58" s="88"/>
      <c r="EV58" s="67"/>
      <c r="EW58" s="96"/>
      <c r="EX58" s="212"/>
      <c r="EY58" s="202"/>
      <c r="EZ58" s="202"/>
      <c r="FA58" s="202"/>
      <c r="FB58" s="202"/>
      <c r="FC58" s="202"/>
      <c r="FD58" s="94"/>
      <c r="FE58" s="95"/>
      <c r="FF58" s="88"/>
      <c r="FG58" s="88"/>
      <c r="FH58" s="67"/>
      <c r="FI58" s="96"/>
      <c r="FJ58" s="212"/>
      <c r="FK58" s="202"/>
      <c r="FL58" s="202"/>
      <c r="FM58" s="202"/>
      <c r="FN58" s="202"/>
      <c r="FO58" s="202"/>
      <c r="FP58" s="94"/>
      <c r="FQ58" s="95"/>
      <c r="FR58" s="88"/>
      <c r="FS58" s="88"/>
      <c r="FT58" s="67"/>
      <c r="FU58" s="96"/>
      <c r="FV58" s="212"/>
      <c r="FW58" s="202"/>
      <c r="FX58" s="202"/>
      <c r="FY58" s="202"/>
      <c r="FZ58" s="202"/>
      <c r="GA58" s="202"/>
      <c r="GB58" s="94"/>
      <c r="GC58" s="95"/>
      <c r="GD58" s="88"/>
      <c r="GE58" s="88"/>
      <c r="GF58" s="67"/>
      <c r="GG58" s="96"/>
      <c r="GH58" s="212"/>
      <c r="GI58" s="202"/>
      <c r="GJ58" s="202"/>
      <c r="GK58" s="202"/>
      <c r="GL58" s="202"/>
      <c r="GM58" s="202"/>
      <c r="GN58" s="94"/>
      <c r="GO58" s="95"/>
      <c r="GP58" s="88"/>
      <c r="GQ58" s="88"/>
      <c r="GR58" s="67"/>
      <c r="GS58" s="96"/>
      <c r="GT58" s="212"/>
      <c r="GU58" s="202"/>
      <c r="GV58" s="202"/>
      <c r="GW58" s="202"/>
      <c r="GX58" s="202"/>
      <c r="GY58" s="202"/>
      <c r="GZ58" s="94"/>
      <c r="HA58" s="95"/>
      <c r="HB58" s="88"/>
      <c r="HC58" s="88"/>
      <c r="HD58" s="67"/>
      <c r="HE58" s="96"/>
      <c r="HF58" s="212"/>
      <c r="HG58" s="202"/>
      <c r="HH58" s="202"/>
      <c r="HI58" s="202"/>
      <c r="HJ58" s="202"/>
      <c r="HK58" s="202"/>
      <c r="HL58" s="94"/>
      <c r="HM58" s="95"/>
      <c r="HN58" s="88"/>
      <c r="HO58" s="88"/>
      <c r="HP58" s="67"/>
      <c r="HQ58" s="96"/>
      <c r="HR58" s="212"/>
      <c r="HS58" s="202"/>
      <c r="HT58" s="202"/>
      <c r="HU58" s="202"/>
      <c r="HV58" s="202"/>
      <c r="HW58" s="202"/>
      <c r="HX58" s="94"/>
      <c r="HY58" s="95"/>
      <c r="HZ58" s="88"/>
      <c r="IA58" s="88"/>
      <c r="IB58" s="67"/>
      <c r="IC58" s="96"/>
      <c r="ID58" s="212"/>
      <c r="IE58" s="202"/>
      <c r="IF58" s="202"/>
      <c r="IG58" s="202"/>
      <c r="IH58" s="202"/>
      <c r="II58" s="202"/>
      <c r="IJ58" s="94"/>
      <c r="IK58" s="95"/>
      <c r="IL58" s="88"/>
      <c r="IM58" s="88"/>
      <c r="IN58" s="67"/>
      <c r="IO58" s="96"/>
      <c r="IP58" s="212"/>
      <c r="IQ58" s="202"/>
      <c r="IR58" s="202"/>
    </row>
    <row r="59" spans="1:252" x14ac:dyDescent="0.2">
      <c r="A59" s="66" t="s">
        <v>106</v>
      </c>
      <c r="B59" s="202" t="s">
        <v>107</v>
      </c>
      <c r="C59" s="202"/>
      <c r="D59" s="202"/>
      <c r="E59" s="202"/>
      <c r="F59" s="202"/>
      <c r="G59" s="202"/>
      <c r="H59" s="67">
        <v>12500</v>
      </c>
      <c r="I59" s="67">
        <f t="shared" si="22"/>
        <v>12750</v>
      </c>
      <c r="J59" s="67">
        <f t="shared" si="22"/>
        <v>13005</v>
      </c>
      <c r="K59" s="67">
        <f t="shared" si="22"/>
        <v>13265.1</v>
      </c>
      <c r="L59" s="67">
        <f t="shared" si="22"/>
        <v>13530.402</v>
      </c>
      <c r="M59" s="67">
        <f t="shared" si="22"/>
        <v>13801.010040000001</v>
      </c>
      <c r="N59" s="67">
        <f t="shared" si="22"/>
        <v>14077.030240800001</v>
      </c>
    </row>
    <row r="60" spans="1:252" ht="12.75" customHeight="1" x14ac:dyDescent="0.2">
      <c r="A60" s="70"/>
      <c r="B60" s="204" t="s">
        <v>108</v>
      </c>
      <c r="C60" s="204"/>
      <c r="D60" s="204"/>
      <c r="E60" s="204"/>
      <c r="F60" s="204"/>
      <c r="G60" s="204"/>
      <c r="H60" s="71">
        <f t="shared" ref="H60" si="23">SUM(H58:H59)</f>
        <v>18500</v>
      </c>
      <c r="I60" s="71">
        <f t="shared" ref="I60:N60" si="24">SUM(I58:I59)</f>
        <v>18870</v>
      </c>
      <c r="J60" s="71">
        <f t="shared" si="24"/>
        <v>19247.400000000001</v>
      </c>
      <c r="K60" s="71">
        <f t="shared" si="24"/>
        <v>19632.348000000002</v>
      </c>
      <c r="L60" s="71">
        <f t="shared" si="24"/>
        <v>20024.99496</v>
      </c>
      <c r="M60" s="71">
        <f t="shared" si="24"/>
        <v>20425.4948592</v>
      </c>
      <c r="N60" s="71">
        <f t="shared" si="24"/>
        <v>20834.004756384002</v>
      </c>
    </row>
    <row r="61" spans="1:252" x14ac:dyDescent="0.2">
      <c r="A61" s="77">
        <v>491</v>
      </c>
      <c r="B61" s="210" t="s">
        <v>109</v>
      </c>
      <c r="C61" s="210"/>
      <c r="D61" s="210"/>
      <c r="E61" s="210"/>
      <c r="F61" s="210"/>
      <c r="G61" s="210"/>
      <c r="H61" s="73"/>
      <c r="I61" s="73"/>
      <c r="J61" s="73"/>
      <c r="K61" s="73"/>
      <c r="L61" s="73"/>
      <c r="M61" s="73"/>
      <c r="N61" s="73"/>
      <c r="O61" s="54" t="s">
        <v>284</v>
      </c>
    </row>
    <row r="62" spans="1:252" ht="12.75" customHeight="1" x14ac:dyDescent="0.2">
      <c r="A62" s="66" t="s">
        <v>55</v>
      </c>
      <c r="B62" s="202" t="s">
        <v>110</v>
      </c>
      <c r="C62" s="202"/>
      <c r="D62" s="202"/>
      <c r="E62" s="202"/>
      <c r="F62" s="202"/>
      <c r="G62" s="202"/>
      <c r="H62" s="67">
        <v>20000</v>
      </c>
      <c r="I62" s="67">
        <f t="shared" ref="I62:N64" si="25">H62*$N$1</f>
        <v>20400</v>
      </c>
      <c r="J62" s="67">
        <f t="shared" si="25"/>
        <v>20808</v>
      </c>
      <c r="K62" s="67">
        <f t="shared" si="25"/>
        <v>21224.16</v>
      </c>
      <c r="L62" s="67">
        <f t="shared" si="25"/>
        <v>21648.643199999999</v>
      </c>
      <c r="M62" s="67">
        <f t="shared" si="25"/>
        <v>22081.616063999998</v>
      </c>
      <c r="N62" s="67">
        <f t="shared" si="25"/>
        <v>22523.24838528</v>
      </c>
    </row>
    <row r="63" spans="1:252" ht="12.75" customHeight="1" x14ac:dyDescent="0.2">
      <c r="A63" s="66" t="s">
        <v>50</v>
      </c>
      <c r="B63" s="202" t="s">
        <v>111</v>
      </c>
      <c r="C63" s="202"/>
      <c r="D63" s="202"/>
      <c r="E63" s="202"/>
      <c r="F63" s="202"/>
      <c r="G63" s="202"/>
      <c r="H63" s="67">
        <v>5345</v>
      </c>
      <c r="I63" s="67">
        <f t="shared" si="25"/>
        <v>5451.9000000000005</v>
      </c>
      <c r="J63" s="67">
        <f t="shared" si="25"/>
        <v>5560.938000000001</v>
      </c>
      <c r="K63" s="67">
        <f t="shared" si="25"/>
        <v>5672.1567600000008</v>
      </c>
      <c r="L63" s="67">
        <f t="shared" si="25"/>
        <v>5785.5998952000009</v>
      </c>
      <c r="M63" s="67">
        <f t="shared" si="25"/>
        <v>5901.3118931040008</v>
      </c>
      <c r="N63" s="67">
        <f t="shared" si="25"/>
        <v>6019.3381309660808</v>
      </c>
    </row>
    <row r="64" spans="1:252" ht="14.65" customHeight="1" x14ac:dyDescent="0.2">
      <c r="A64" s="66" t="s">
        <v>56</v>
      </c>
      <c r="B64" s="211" t="s">
        <v>112</v>
      </c>
      <c r="C64" s="211"/>
      <c r="D64" s="211"/>
      <c r="E64" s="211"/>
      <c r="F64" s="211"/>
      <c r="G64" s="211"/>
      <c r="H64" s="67">
        <v>3250</v>
      </c>
      <c r="I64" s="67">
        <f t="shared" si="25"/>
        <v>3315</v>
      </c>
      <c r="J64" s="67">
        <f t="shared" si="25"/>
        <v>3381.3</v>
      </c>
      <c r="K64" s="67">
        <f t="shared" si="25"/>
        <v>3448.9260000000004</v>
      </c>
      <c r="L64" s="67">
        <f t="shared" si="25"/>
        <v>3517.9045200000005</v>
      </c>
      <c r="M64" s="67">
        <f t="shared" si="25"/>
        <v>3588.2626104000005</v>
      </c>
      <c r="N64" s="67">
        <f t="shared" si="25"/>
        <v>3660.0278626080008</v>
      </c>
    </row>
    <row r="65" spans="1:15" ht="12.75" hidden="1" customHeight="1" x14ac:dyDescent="0.25">
      <c r="A65" s="66"/>
      <c r="B65" s="202" t="s">
        <v>113</v>
      </c>
      <c r="C65" s="202"/>
      <c r="D65" s="202"/>
      <c r="E65" s="202"/>
      <c r="F65" s="202"/>
      <c r="G65" s="202"/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1:15" ht="12.75" customHeight="1" x14ac:dyDescent="0.2">
      <c r="A66" s="66" t="s">
        <v>81</v>
      </c>
      <c r="B66" s="202" t="s">
        <v>114</v>
      </c>
      <c r="C66" s="202"/>
      <c r="D66" s="202"/>
      <c r="E66" s="202"/>
      <c r="F66" s="202"/>
      <c r="G66" s="202"/>
      <c r="H66" s="67">
        <v>3400</v>
      </c>
      <c r="I66" s="67">
        <f t="shared" ref="I66:N67" si="26">H66*$N$1</f>
        <v>3468</v>
      </c>
      <c r="J66" s="67">
        <f t="shared" si="26"/>
        <v>3537.36</v>
      </c>
      <c r="K66" s="67">
        <f t="shared" si="26"/>
        <v>3608.1072000000004</v>
      </c>
      <c r="L66" s="67">
        <f t="shared" si="26"/>
        <v>3680.2693440000003</v>
      </c>
      <c r="M66" s="67">
        <f t="shared" si="26"/>
        <v>3753.8747308800002</v>
      </c>
      <c r="N66" s="67">
        <f t="shared" si="26"/>
        <v>3828.9522254976005</v>
      </c>
    </row>
    <row r="67" spans="1:15" ht="12.75" customHeight="1" x14ac:dyDescent="0.2">
      <c r="A67" s="66" t="s">
        <v>104</v>
      </c>
      <c r="B67" s="202" t="s">
        <v>115</v>
      </c>
      <c r="C67" s="202"/>
      <c r="D67" s="202"/>
      <c r="E67" s="202"/>
      <c r="F67" s="202"/>
      <c r="G67" s="202"/>
      <c r="H67" s="67">
        <v>6550</v>
      </c>
      <c r="I67" s="67">
        <f t="shared" si="26"/>
        <v>6681</v>
      </c>
      <c r="J67" s="67">
        <f t="shared" si="26"/>
        <v>6814.62</v>
      </c>
      <c r="K67" s="67">
        <f t="shared" si="26"/>
        <v>6950.9124000000002</v>
      </c>
      <c r="L67" s="67">
        <f t="shared" si="26"/>
        <v>7089.9306480000005</v>
      </c>
      <c r="M67" s="67">
        <f t="shared" si="26"/>
        <v>7231.7292609600008</v>
      </c>
      <c r="N67" s="67">
        <f t="shared" si="26"/>
        <v>7376.3638461792007</v>
      </c>
    </row>
    <row r="68" spans="1:15" ht="12.75" customHeight="1" x14ac:dyDescent="0.2">
      <c r="A68" s="70"/>
      <c r="B68" s="204" t="s">
        <v>116</v>
      </c>
      <c r="C68" s="204"/>
      <c r="D68" s="204"/>
      <c r="E68" s="204"/>
      <c r="F68" s="204"/>
      <c r="G68" s="204"/>
      <c r="H68" s="71">
        <f t="shared" ref="H68" si="27">SUM(H62:H67)</f>
        <v>38545</v>
      </c>
      <c r="I68" s="71">
        <f t="shared" ref="I68:N68" si="28">SUM(I62:I67)</f>
        <v>39315.9</v>
      </c>
      <c r="J68" s="71">
        <f t="shared" si="28"/>
        <v>40102.218000000001</v>
      </c>
      <c r="K68" s="71">
        <f t="shared" si="28"/>
        <v>40904.262360000001</v>
      </c>
      <c r="L68" s="71">
        <f t="shared" si="28"/>
        <v>41722.347607199998</v>
      </c>
      <c r="M68" s="71">
        <f t="shared" si="28"/>
        <v>42556.794559343994</v>
      </c>
      <c r="N68" s="71">
        <f t="shared" si="28"/>
        <v>43407.930450530883</v>
      </c>
    </row>
    <row r="69" spans="1:15" ht="12.75" customHeight="1" x14ac:dyDescent="0.2">
      <c r="A69" s="79">
        <v>510</v>
      </c>
      <c r="B69" s="208" t="s">
        <v>117</v>
      </c>
      <c r="C69" s="208"/>
      <c r="D69" s="208"/>
      <c r="E69" s="208"/>
      <c r="F69" s="208"/>
      <c r="G69" s="208"/>
      <c r="H69" s="80">
        <v>6750</v>
      </c>
      <c r="I69" s="67">
        <f t="shared" ref="I69:N69" si="29">H69*$N$1</f>
        <v>6885</v>
      </c>
      <c r="J69" s="67">
        <f t="shared" si="29"/>
        <v>7022.7</v>
      </c>
      <c r="K69" s="67">
        <f t="shared" si="29"/>
        <v>7163.1539999999995</v>
      </c>
      <c r="L69" s="67">
        <f t="shared" si="29"/>
        <v>7306.4170799999993</v>
      </c>
      <c r="M69" s="67">
        <f t="shared" si="29"/>
        <v>7452.5454215999998</v>
      </c>
      <c r="N69" s="67">
        <f t="shared" si="29"/>
        <v>7601.596330032</v>
      </c>
      <c r="O69" s="54" t="s">
        <v>286</v>
      </c>
    </row>
    <row r="70" spans="1:15" ht="12.75" customHeight="1" x14ac:dyDescent="0.2">
      <c r="A70" s="77">
        <v>520</v>
      </c>
      <c r="B70" s="210" t="s">
        <v>118</v>
      </c>
      <c r="C70" s="210"/>
      <c r="D70" s="210"/>
      <c r="E70" s="210"/>
      <c r="F70" s="210"/>
      <c r="G70" s="210"/>
      <c r="H70" s="73"/>
      <c r="I70" s="73"/>
      <c r="J70" s="73"/>
      <c r="K70" s="73"/>
      <c r="L70" s="73"/>
      <c r="M70" s="73"/>
      <c r="N70" s="73"/>
      <c r="O70" s="54" t="s">
        <v>285</v>
      </c>
    </row>
    <row r="71" spans="1:15" ht="12.75" customHeight="1" x14ac:dyDescent="0.2">
      <c r="A71" s="66" t="s">
        <v>55</v>
      </c>
      <c r="B71" s="202" t="s">
        <v>119</v>
      </c>
      <c r="C71" s="202"/>
      <c r="D71" s="202"/>
      <c r="E71" s="202"/>
      <c r="F71" s="202"/>
      <c r="G71" s="202"/>
      <c r="H71" s="67">
        <v>1750</v>
      </c>
      <c r="I71" s="67">
        <f t="shared" ref="I71:N73" si="30">H71*$N$1</f>
        <v>1785</v>
      </c>
      <c r="J71" s="67">
        <f t="shared" si="30"/>
        <v>1820.7</v>
      </c>
      <c r="K71" s="67">
        <f t="shared" si="30"/>
        <v>1857.114</v>
      </c>
      <c r="L71" s="67">
        <f t="shared" si="30"/>
        <v>1894.2562800000001</v>
      </c>
      <c r="M71" s="67">
        <f t="shared" si="30"/>
        <v>1932.1414056000001</v>
      </c>
      <c r="N71" s="67">
        <f t="shared" si="30"/>
        <v>1970.7842337120001</v>
      </c>
    </row>
    <row r="72" spans="1:15" ht="12.75" customHeight="1" x14ac:dyDescent="0.2">
      <c r="A72" s="66" t="s">
        <v>50</v>
      </c>
      <c r="B72" s="202" t="s">
        <v>120</v>
      </c>
      <c r="C72" s="202"/>
      <c r="D72" s="202"/>
      <c r="E72" s="202"/>
      <c r="F72" s="202"/>
      <c r="G72" s="202"/>
      <c r="H72" s="67">
        <v>43000</v>
      </c>
      <c r="I72" s="67">
        <f t="shared" si="30"/>
        <v>43860</v>
      </c>
      <c r="J72" s="67">
        <f t="shared" si="30"/>
        <v>44737.200000000004</v>
      </c>
      <c r="K72" s="67">
        <f t="shared" si="30"/>
        <v>45631.944000000003</v>
      </c>
      <c r="L72" s="67">
        <f t="shared" si="30"/>
        <v>46544.582880000002</v>
      </c>
      <c r="M72" s="67">
        <f t="shared" si="30"/>
        <v>47475.474537599999</v>
      </c>
      <c r="N72" s="67">
        <f t="shared" si="30"/>
        <v>48424.984028352002</v>
      </c>
    </row>
    <row r="73" spans="1:15" ht="12.75" customHeight="1" x14ac:dyDescent="0.2">
      <c r="A73" s="66" t="s">
        <v>56</v>
      </c>
      <c r="B73" s="202" t="s">
        <v>139</v>
      </c>
      <c r="C73" s="202"/>
      <c r="D73" s="202"/>
      <c r="E73" s="202"/>
      <c r="F73" s="202"/>
      <c r="G73" s="202"/>
      <c r="H73" s="67">
        <v>78500</v>
      </c>
      <c r="I73" s="67">
        <f t="shared" si="30"/>
        <v>80070</v>
      </c>
      <c r="J73" s="67">
        <f t="shared" si="30"/>
        <v>81671.399999999994</v>
      </c>
      <c r="K73" s="67">
        <f t="shared" si="30"/>
        <v>83304.827999999994</v>
      </c>
      <c r="L73" s="67">
        <f t="shared" si="30"/>
        <v>84970.924559999999</v>
      </c>
      <c r="M73" s="67">
        <f t="shared" si="30"/>
        <v>86670.343051200005</v>
      </c>
      <c r="N73" s="67">
        <f t="shared" si="30"/>
        <v>88403.749912224011</v>
      </c>
    </row>
    <row r="74" spans="1:15" ht="12.75" hidden="1" customHeight="1" x14ac:dyDescent="0.25">
      <c r="A74" s="66">
        <v>520</v>
      </c>
      <c r="B74" s="202" t="s">
        <v>121</v>
      </c>
      <c r="C74" s="202"/>
      <c r="D74" s="202"/>
      <c r="E74" s="202"/>
      <c r="F74" s="202"/>
      <c r="G74" s="202"/>
      <c r="H74" s="67"/>
      <c r="I74" s="67"/>
      <c r="J74" s="67"/>
      <c r="K74" s="67"/>
      <c r="L74" s="67"/>
      <c r="M74" s="67"/>
      <c r="N74" s="67"/>
    </row>
    <row r="75" spans="1:15" ht="12.75" customHeight="1" x14ac:dyDescent="0.2">
      <c r="A75" s="66" t="s">
        <v>104</v>
      </c>
      <c r="B75" s="202" t="s">
        <v>122</v>
      </c>
      <c r="C75" s="202"/>
      <c r="D75" s="202"/>
      <c r="E75" s="202"/>
      <c r="F75" s="202"/>
      <c r="G75" s="202"/>
      <c r="H75" s="67">
        <v>7500</v>
      </c>
      <c r="I75" s="67">
        <f t="shared" ref="I75:N78" si="31">H75*$N$1</f>
        <v>7650</v>
      </c>
      <c r="J75" s="67">
        <f t="shared" si="31"/>
        <v>7803</v>
      </c>
      <c r="K75" s="67">
        <f t="shared" si="31"/>
        <v>7959.06</v>
      </c>
      <c r="L75" s="67">
        <f t="shared" si="31"/>
        <v>8118.2412000000004</v>
      </c>
      <c r="M75" s="67">
        <f t="shared" si="31"/>
        <v>8280.6060240000006</v>
      </c>
      <c r="N75" s="67">
        <f t="shared" si="31"/>
        <v>8446.2181444800008</v>
      </c>
    </row>
    <row r="76" spans="1:15" ht="12.75" customHeight="1" x14ac:dyDescent="0.2">
      <c r="A76" s="66" t="s">
        <v>106</v>
      </c>
      <c r="B76" s="202" t="s">
        <v>123</v>
      </c>
      <c r="C76" s="202"/>
      <c r="D76" s="202"/>
      <c r="E76" s="202"/>
      <c r="F76" s="202"/>
      <c r="G76" s="202"/>
      <c r="H76" s="67">
        <v>25000</v>
      </c>
      <c r="I76" s="67">
        <f t="shared" si="31"/>
        <v>25500</v>
      </c>
      <c r="J76" s="67">
        <f t="shared" si="31"/>
        <v>26010</v>
      </c>
      <c r="K76" s="67">
        <f t="shared" si="31"/>
        <v>26530.2</v>
      </c>
      <c r="L76" s="67">
        <f t="shared" si="31"/>
        <v>27060.804</v>
      </c>
      <c r="M76" s="67">
        <f t="shared" si="31"/>
        <v>27602.020080000002</v>
      </c>
      <c r="N76" s="67">
        <f t="shared" si="31"/>
        <v>28154.060481600001</v>
      </c>
    </row>
    <row r="77" spans="1:15" ht="12.75" customHeight="1" x14ac:dyDescent="0.2">
      <c r="A77" s="66" t="s">
        <v>83</v>
      </c>
      <c r="B77" s="202" t="s">
        <v>124</v>
      </c>
      <c r="C77" s="202"/>
      <c r="D77" s="202"/>
      <c r="E77" s="202"/>
      <c r="F77" s="202"/>
      <c r="G77" s="202"/>
      <c r="H77" s="67">
        <v>14000</v>
      </c>
      <c r="I77" s="67">
        <f t="shared" si="31"/>
        <v>14280</v>
      </c>
      <c r="J77" s="67">
        <f t="shared" si="31"/>
        <v>14565.6</v>
      </c>
      <c r="K77" s="67">
        <f t="shared" si="31"/>
        <v>14856.912</v>
      </c>
      <c r="L77" s="67">
        <f t="shared" si="31"/>
        <v>15154.05024</v>
      </c>
      <c r="M77" s="67">
        <f t="shared" si="31"/>
        <v>15457.131244800001</v>
      </c>
      <c r="N77" s="67">
        <f t="shared" si="31"/>
        <v>15766.273869696</v>
      </c>
    </row>
    <row r="78" spans="1:15" ht="12.75" customHeight="1" x14ac:dyDescent="0.2">
      <c r="A78" s="66" t="s">
        <v>125</v>
      </c>
      <c r="B78" s="202" t="s">
        <v>126</v>
      </c>
      <c r="C78" s="202"/>
      <c r="D78" s="202"/>
      <c r="E78" s="202"/>
      <c r="F78" s="202"/>
      <c r="G78" s="202"/>
      <c r="H78" s="67">
        <v>11000</v>
      </c>
      <c r="I78" s="67">
        <f t="shared" si="31"/>
        <v>11220</v>
      </c>
      <c r="J78" s="67">
        <f t="shared" si="31"/>
        <v>11444.4</v>
      </c>
      <c r="K78" s="67">
        <f t="shared" si="31"/>
        <v>11673.288</v>
      </c>
      <c r="L78" s="67">
        <f t="shared" si="31"/>
        <v>11906.753760000001</v>
      </c>
      <c r="M78" s="67">
        <f t="shared" si="31"/>
        <v>12144.888835200001</v>
      </c>
      <c r="N78" s="67">
        <f t="shared" si="31"/>
        <v>12387.786611904001</v>
      </c>
    </row>
    <row r="79" spans="1:15" ht="17.25" customHeight="1" x14ac:dyDescent="0.2">
      <c r="A79" s="70"/>
      <c r="B79" s="204" t="s">
        <v>127</v>
      </c>
      <c r="C79" s="204"/>
      <c r="D79" s="204"/>
      <c r="E79" s="204"/>
      <c r="F79" s="204"/>
      <c r="G79" s="204"/>
      <c r="H79" s="71">
        <f t="shared" ref="H79" si="32">SUM(H71:H78)</f>
        <v>180750</v>
      </c>
      <c r="I79" s="71">
        <f t="shared" ref="I79:N79" si="33">SUM(I71:I78)</f>
        <v>184365</v>
      </c>
      <c r="J79" s="71">
        <f t="shared" si="33"/>
        <v>188052.3</v>
      </c>
      <c r="K79" s="71">
        <f t="shared" si="33"/>
        <v>191813.34600000002</v>
      </c>
      <c r="L79" s="71">
        <f t="shared" si="33"/>
        <v>195649.61291999999</v>
      </c>
      <c r="M79" s="71">
        <f t="shared" si="33"/>
        <v>199562.6051784</v>
      </c>
      <c r="N79" s="71">
        <f t="shared" si="33"/>
        <v>203553.85728196803</v>
      </c>
    </row>
    <row r="80" spans="1:15" ht="17.25" customHeight="1" x14ac:dyDescent="0.2">
      <c r="A80" s="79">
        <v>521</v>
      </c>
      <c r="B80" s="208" t="s">
        <v>128</v>
      </c>
      <c r="C80" s="208"/>
      <c r="D80" s="208"/>
      <c r="E80" s="208"/>
      <c r="F80" s="208"/>
      <c r="G80" s="208"/>
      <c r="H80" s="80">
        <v>100</v>
      </c>
      <c r="I80" s="67">
        <f t="shared" ref="I80:N82" si="34">H80*$N$1</f>
        <v>102</v>
      </c>
      <c r="J80" s="67">
        <f t="shared" si="34"/>
        <v>104.04</v>
      </c>
      <c r="K80" s="67">
        <f t="shared" si="34"/>
        <v>106.1208</v>
      </c>
      <c r="L80" s="67">
        <f t="shared" si="34"/>
        <v>108.243216</v>
      </c>
      <c r="M80" s="67">
        <f t="shared" si="34"/>
        <v>110.40808032000001</v>
      </c>
      <c r="N80" s="67">
        <f t="shared" si="34"/>
        <v>112.61624192640001</v>
      </c>
      <c r="O80" s="54" t="s">
        <v>287</v>
      </c>
    </row>
    <row r="81" spans="1:15" ht="18" customHeight="1" x14ac:dyDescent="0.2">
      <c r="A81" s="79">
        <v>522</v>
      </c>
      <c r="B81" s="208" t="s">
        <v>129</v>
      </c>
      <c r="C81" s="208"/>
      <c r="D81" s="208"/>
      <c r="E81" s="208"/>
      <c r="F81" s="208"/>
      <c r="G81" s="208"/>
      <c r="H81" s="80">
        <v>32500</v>
      </c>
      <c r="I81" s="80">
        <f t="shared" si="34"/>
        <v>33150</v>
      </c>
      <c r="J81" s="80">
        <f t="shared" si="34"/>
        <v>33813</v>
      </c>
      <c r="K81" s="80">
        <f t="shared" si="34"/>
        <v>34489.26</v>
      </c>
      <c r="L81" s="80">
        <f t="shared" si="34"/>
        <v>35179.0452</v>
      </c>
      <c r="M81" s="80">
        <f t="shared" si="34"/>
        <v>35882.626104000003</v>
      </c>
      <c r="N81" s="80">
        <f t="shared" si="34"/>
        <v>36600.278626080006</v>
      </c>
      <c r="O81" s="54" t="s">
        <v>288</v>
      </c>
    </row>
    <row r="82" spans="1:15" ht="12.75" customHeight="1" x14ac:dyDescent="0.2">
      <c r="A82" s="79">
        <v>540</v>
      </c>
      <c r="B82" s="209" t="s">
        <v>130</v>
      </c>
      <c r="C82" s="209"/>
      <c r="D82" s="209"/>
      <c r="E82" s="209"/>
      <c r="F82" s="209"/>
      <c r="G82" s="209"/>
      <c r="H82" s="97">
        <v>17600</v>
      </c>
      <c r="I82" s="67">
        <f t="shared" si="34"/>
        <v>17952</v>
      </c>
      <c r="J82" s="67">
        <f t="shared" si="34"/>
        <v>18311.04</v>
      </c>
      <c r="K82" s="67">
        <f t="shared" si="34"/>
        <v>18677.2608</v>
      </c>
      <c r="L82" s="67">
        <f t="shared" si="34"/>
        <v>19050.806015999999</v>
      </c>
      <c r="M82" s="67">
        <f t="shared" si="34"/>
        <v>19431.822136319999</v>
      </c>
      <c r="N82" s="67">
        <f t="shared" si="34"/>
        <v>19820.458579046401</v>
      </c>
      <c r="O82" s="54" t="s">
        <v>289</v>
      </c>
    </row>
    <row r="83" spans="1:15" ht="13.5" customHeight="1" x14ac:dyDescent="0.2">
      <c r="A83" s="77">
        <v>805</v>
      </c>
      <c r="B83" s="210" t="s">
        <v>131</v>
      </c>
      <c r="C83" s="210"/>
      <c r="D83" s="210"/>
      <c r="E83" s="210"/>
      <c r="F83" s="210"/>
      <c r="G83" s="210"/>
      <c r="H83" s="73"/>
      <c r="I83" s="73"/>
      <c r="J83" s="73"/>
      <c r="K83" s="73"/>
      <c r="L83" s="73"/>
      <c r="M83" s="73"/>
      <c r="N83" s="73"/>
    </row>
    <row r="84" spans="1:15" ht="13.5" customHeight="1" x14ac:dyDescent="0.2">
      <c r="A84" s="106" t="s">
        <v>55</v>
      </c>
      <c r="B84" s="202" t="s">
        <v>132</v>
      </c>
      <c r="C84" s="202"/>
      <c r="D84" s="202"/>
      <c r="E84" s="202"/>
      <c r="F84" s="202"/>
      <c r="G84" s="203"/>
      <c r="H84" s="67">
        <v>500</v>
      </c>
      <c r="I84" s="67">
        <f t="shared" ref="I84:N87" si="35">H84*$N$1</f>
        <v>510</v>
      </c>
      <c r="J84" s="67">
        <f t="shared" si="35"/>
        <v>520.20000000000005</v>
      </c>
      <c r="K84" s="67">
        <f t="shared" si="35"/>
        <v>530.60400000000004</v>
      </c>
      <c r="L84" s="67">
        <f t="shared" si="35"/>
        <v>541.21608000000003</v>
      </c>
      <c r="M84" s="67">
        <f t="shared" si="35"/>
        <v>552.0404016</v>
      </c>
      <c r="N84" s="67">
        <f t="shared" si="35"/>
        <v>563.08120963199997</v>
      </c>
    </row>
    <row r="85" spans="1:15" ht="12.75" customHeight="1" x14ac:dyDescent="0.2">
      <c r="A85" s="106" t="s">
        <v>50</v>
      </c>
      <c r="B85" s="202" t="s">
        <v>133</v>
      </c>
      <c r="C85" s="202"/>
      <c r="D85" s="202"/>
      <c r="E85" s="202"/>
      <c r="F85" s="202"/>
      <c r="G85" s="203"/>
      <c r="H85" s="67">
        <v>0</v>
      </c>
      <c r="I85" s="67">
        <f t="shared" si="35"/>
        <v>0</v>
      </c>
      <c r="J85" s="67">
        <f t="shared" si="35"/>
        <v>0</v>
      </c>
      <c r="K85" s="67">
        <f t="shared" si="35"/>
        <v>0</v>
      </c>
      <c r="L85" s="67">
        <f t="shared" si="35"/>
        <v>0</v>
      </c>
      <c r="M85" s="67">
        <f t="shared" si="35"/>
        <v>0</v>
      </c>
      <c r="N85" s="67">
        <f t="shared" si="35"/>
        <v>0</v>
      </c>
    </row>
    <row r="86" spans="1:15" ht="12.75" customHeight="1" x14ac:dyDescent="0.2">
      <c r="A86" s="106" t="s">
        <v>56</v>
      </c>
      <c r="B86" s="202" t="s">
        <v>134</v>
      </c>
      <c r="C86" s="202"/>
      <c r="D86" s="202"/>
      <c r="E86" s="202"/>
      <c r="F86" s="202"/>
      <c r="G86" s="203"/>
      <c r="H86" s="67">
        <v>540</v>
      </c>
      <c r="I86" s="67">
        <f t="shared" si="35"/>
        <v>550.79999999999995</v>
      </c>
      <c r="J86" s="67">
        <f t="shared" si="35"/>
        <v>561.81599999999992</v>
      </c>
      <c r="K86" s="67">
        <f t="shared" si="35"/>
        <v>573.0523199999999</v>
      </c>
      <c r="L86" s="67">
        <f t="shared" si="35"/>
        <v>584.51336639999988</v>
      </c>
      <c r="M86" s="67">
        <f t="shared" si="35"/>
        <v>596.20363372799989</v>
      </c>
      <c r="N86" s="67">
        <f t="shared" si="35"/>
        <v>608.12770640255985</v>
      </c>
    </row>
    <row r="87" spans="1:15" ht="12.75" customHeight="1" x14ac:dyDescent="0.2">
      <c r="A87" s="106" t="s">
        <v>81</v>
      </c>
      <c r="B87" s="202" t="s">
        <v>135</v>
      </c>
      <c r="C87" s="202"/>
      <c r="D87" s="202"/>
      <c r="E87" s="202"/>
      <c r="F87" s="202"/>
      <c r="G87" s="203"/>
      <c r="H87" s="67">
        <v>1000</v>
      </c>
      <c r="I87" s="67">
        <f t="shared" si="35"/>
        <v>1020</v>
      </c>
      <c r="J87" s="67">
        <f t="shared" si="35"/>
        <v>1040.4000000000001</v>
      </c>
      <c r="K87" s="67">
        <f t="shared" si="35"/>
        <v>1061.2080000000001</v>
      </c>
      <c r="L87" s="67">
        <f t="shared" si="35"/>
        <v>1082.4321600000001</v>
      </c>
      <c r="M87" s="67">
        <f t="shared" si="35"/>
        <v>1104.0808032</v>
      </c>
      <c r="N87" s="67">
        <f t="shared" si="35"/>
        <v>1126.1624192639999</v>
      </c>
    </row>
    <row r="88" spans="1:15" x14ac:dyDescent="0.2">
      <c r="A88" s="70"/>
      <c r="B88" s="204" t="s">
        <v>136</v>
      </c>
      <c r="C88" s="204"/>
      <c r="D88" s="204"/>
      <c r="E88" s="204"/>
      <c r="F88" s="204"/>
      <c r="G88" s="205"/>
      <c r="H88" s="71">
        <f t="shared" ref="H88" si="36">SUM(H83:H87)</f>
        <v>2040</v>
      </c>
      <c r="I88" s="71">
        <f t="shared" ref="I88:N88" si="37">SUM(I83:I87)</f>
        <v>2080.8000000000002</v>
      </c>
      <c r="J88" s="71">
        <f t="shared" si="37"/>
        <v>2122.4160000000002</v>
      </c>
      <c r="K88" s="71">
        <f t="shared" si="37"/>
        <v>2164.8643200000001</v>
      </c>
      <c r="L88" s="71">
        <f t="shared" si="37"/>
        <v>2208.1616064</v>
      </c>
      <c r="M88" s="71">
        <f t="shared" si="37"/>
        <v>2252.3248385279999</v>
      </c>
      <c r="N88" s="71">
        <f t="shared" si="37"/>
        <v>2297.3713352985596</v>
      </c>
    </row>
    <row r="89" spans="1:15" x14ac:dyDescent="0.2">
      <c r="A89" s="98"/>
      <c r="J89" s="99"/>
      <c r="K89" s="100"/>
      <c r="L89" s="100"/>
      <c r="M89" s="100"/>
      <c r="N89" s="100"/>
    </row>
    <row r="90" spans="1:15" x14ac:dyDescent="0.2">
      <c r="G90" s="55" t="s">
        <v>137</v>
      </c>
      <c r="H90" s="101">
        <f t="shared" ref="H90:M90" si="38">H7+H12+H13+H14+H15+H19+H20+H21+H26+H27+H28+H29+H30+H32+H39+H46+H52+H53+H54+H55+H56+H60+H68+H69+H79+H80+H81+H82+H88+H31</f>
        <v>3144043.5795312002</v>
      </c>
      <c r="I90" s="101">
        <f t="shared" si="38"/>
        <v>3738941.1440412304</v>
      </c>
      <c r="J90" s="101">
        <f t="shared" si="38"/>
        <v>4046788.9979224605</v>
      </c>
      <c r="K90" s="101">
        <f t="shared" si="38"/>
        <v>4293792.5080510769</v>
      </c>
      <c r="L90" s="101">
        <f t="shared" si="38"/>
        <v>4494982.6183406562</v>
      </c>
      <c r="M90" s="101">
        <f t="shared" si="38"/>
        <v>4673037.7930356199</v>
      </c>
      <c r="N90" s="101">
        <f>N7+N12+N13+N14+N15+N19+N20+N21+N26+N27+N28+N29+N30+N32+N39+N46+N52+N53+N54+N55+N56+N60+N68+N69+N79+N80+N81+N82+N88+N31</f>
        <v>4821649.0256436197</v>
      </c>
    </row>
    <row r="91" spans="1:15" x14ac:dyDescent="0.2">
      <c r="G91" s="167" t="s">
        <v>242</v>
      </c>
      <c r="H91" s="168">
        <v>300000</v>
      </c>
      <c r="I91" s="168">
        <v>300000</v>
      </c>
      <c r="J91" s="168">
        <v>300000</v>
      </c>
      <c r="K91" s="168">
        <v>300000</v>
      </c>
      <c r="L91" s="168">
        <v>300000</v>
      </c>
      <c r="M91" s="168">
        <v>300000</v>
      </c>
      <c r="N91" s="168">
        <v>300000</v>
      </c>
    </row>
    <row r="92" spans="1:15" x14ac:dyDescent="0.2">
      <c r="G92" s="55" t="s">
        <v>243</v>
      </c>
      <c r="H92" s="169">
        <f>SUM(H90-H91)</f>
        <v>2844043.5795312002</v>
      </c>
      <c r="I92" s="169">
        <f t="shared" ref="I92:N92" si="39">SUM(I90-I91)</f>
        <v>3438941.1440412304</v>
      </c>
      <c r="J92" s="169">
        <f t="shared" si="39"/>
        <v>3746788.9979224605</v>
      </c>
      <c r="K92" s="169">
        <f t="shared" si="39"/>
        <v>3993792.5080510769</v>
      </c>
      <c r="L92" s="169">
        <f t="shared" si="39"/>
        <v>4194982.6183406562</v>
      </c>
      <c r="M92" s="169">
        <f t="shared" si="39"/>
        <v>4373037.7930356199</v>
      </c>
      <c r="N92" s="169">
        <f t="shared" si="39"/>
        <v>4521649.0256436197</v>
      </c>
    </row>
    <row r="93" spans="1:15" x14ac:dyDescent="0.2">
      <c r="J93" s="74"/>
      <c r="K93" s="74"/>
      <c r="L93" s="72"/>
      <c r="M93" s="72"/>
      <c r="N93" s="72"/>
    </row>
    <row r="94" spans="1:15" ht="15" x14ac:dyDescent="0.35">
      <c r="G94" s="107"/>
      <c r="H94" s="74"/>
      <c r="I94" s="74"/>
      <c r="J94" s="102"/>
      <c r="K94" s="72"/>
      <c r="M94" s="104"/>
    </row>
    <row r="95" spans="1:15" ht="15" x14ac:dyDescent="0.35">
      <c r="J95" s="103"/>
    </row>
    <row r="96" spans="1:15" x14ac:dyDescent="0.2">
      <c r="L96" s="74"/>
      <c r="M96" s="74"/>
      <c r="N96" s="74"/>
    </row>
    <row r="98" spans="11:14" x14ac:dyDescent="0.2">
      <c r="K98" s="72"/>
    </row>
    <row r="100" spans="11:14" x14ac:dyDescent="0.2">
      <c r="L100" s="72"/>
      <c r="M100" s="72"/>
      <c r="N100" s="72"/>
    </row>
  </sheetData>
  <mergeCells count="107">
    <mergeCell ref="B7:G7"/>
    <mergeCell ref="B8:G8"/>
    <mergeCell ref="B9:G9"/>
    <mergeCell ref="B10:G10"/>
    <mergeCell ref="B11:G11"/>
    <mergeCell ref="B12:G12"/>
    <mergeCell ref="H1:L2"/>
    <mergeCell ref="B3:G3"/>
    <mergeCell ref="B4:G4"/>
    <mergeCell ref="B5:G5"/>
    <mergeCell ref="B6:G6"/>
    <mergeCell ref="B19:G19"/>
    <mergeCell ref="B20:G20"/>
    <mergeCell ref="B21:G21"/>
    <mergeCell ref="B22:G22"/>
    <mergeCell ref="B23:G23"/>
    <mergeCell ref="B24:G24"/>
    <mergeCell ref="B13:G13"/>
    <mergeCell ref="B14:G14"/>
    <mergeCell ref="B15:G15"/>
    <mergeCell ref="B16:G16"/>
    <mergeCell ref="B17:G17"/>
    <mergeCell ref="B18:G18"/>
    <mergeCell ref="B31:G31"/>
    <mergeCell ref="B32:G32"/>
    <mergeCell ref="B33:G33"/>
    <mergeCell ref="B34:G34"/>
    <mergeCell ref="B35:G35"/>
    <mergeCell ref="B36:G36"/>
    <mergeCell ref="B25:G25"/>
    <mergeCell ref="B26:G26"/>
    <mergeCell ref="B27:G27"/>
    <mergeCell ref="B28:G28"/>
    <mergeCell ref="B29:G29"/>
    <mergeCell ref="B30:G30"/>
    <mergeCell ref="B43:G43"/>
    <mergeCell ref="B44:G44"/>
    <mergeCell ref="B45:G45"/>
    <mergeCell ref="B46:G46"/>
    <mergeCell ref="B47:G47"/>
    <mergeCell ref="B48:G48"/>
    <mergeCell ref="B37:G37"/>
    <mergeCell ref="B38:G38"/>
    <mergeCell ref="B39:G39"/>
    <mergeCell ref="B40:G40"/>
    <mergeCell ref="B41:G41"/>
    <mergeCell ref="B42:G42"/>
    <mergeCell ref="B55:G55"/>
    <mergeCell ref="B56:G56"/>
    <mergeCell ref="B57:G57"/>
    <mergeCell ref="B58:G58"/>
    <mergeCell ref="AH58:AM58"/>
    <mergeCell ref="B49:G49"/>
    <mergeCell ref="B50:G50"/>
    <mergeCell ref="B51:G51"/>
    <mergeCell ref="B52:G52"/>
    <mergeCell ref="B53:G53"/>
    <mergeCell ref="B54:G54"/>
    <mergeCell ref="U58:Z58"/>
    <mergeCell ref="HR58:HW58"/>
    <mergeCell ref="ID58:II58"/>
    <mergeCell ref="IP58:IR58"/>
    <mergeCell ref="DN58:DS58"/>
    <mergeCell ref="DZ58:EE58"/>
    <mergeCell ref="EL58:EQ58"/>
    <mergeCell ref="EX58:FC58"/>
    <mergeCell ref="FJ58:FO58"/>
    <mergeCell ref="FV58:GA58"/>
    <mergeCell ref="B59:G59"/>
    <mergeCell ref="B60:G60"/>
    <mergeCell ref="B61:G61"/>
    <mergeCell ref="B62:G62"/>
    <mergeCell ref="B63:G63"/>
    <mergeCell ref="B64:G64"/>
    <mergeCell ref="GH58:GM58"/>
    <mergeCell ref="GT58:GY58"/>
    <mergeCell ref="HF58:HK58"/>
    <mergeCell ref="AT58:AY58"/>
    <mergeCell ref="BF58:BK58"/>
    <mergeCell ref="BR58:BW58"/>
    <mergeCell ref="CD58:CI58"/>
    <mergeCell ref="CP58:CU58"/>
    <mergeCell ref="DB58:DG58"/>
    <mergeCell ref="B71:G71"/>
    <mergeCell ref="B72:G72"/>
    <mergeCell ref="B73:G73"/>
    <mergeCell ref="B74:G74"/>
    <mergeCell ref="B75:G75"/>
    <mergeCell ref="B76:G76"/>
    <mergeCell ref="B65:G65"/>
    <mergeCell ref="B66:G66"/>
    <mergeCell ref="B67:G67"/>
    <mergeCell ref="B68:G68"/>
    <mergeCell ref="B69:G69"/>
    <mergeCell ref="B70:G70"/>
    <mergeCell ref="B83:G83"/>
    <mergeCell ref="B84:G84"/>
    <mergeCell ref="B85:G85"/>
    <mergeCell ref="B86:G86"/>
    <mergeCell ref="B87:G87"/>
    <mergeCell ref="B88:G88"/>
    <mergeCell ref="B77:G77"/>
    <mergeCell ref="B78:G78"/>
    <mergeCell ref="B79:G79"/>
    <mergeCell ref="B80:G80"/>
    <mergeCell ref="B81:G81"/>
    <mergeCell ref="B82:G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0"/>
  <sheetViews>
    <sheetView zoomScale="85" zoomScaleNormal="85" workbookViewId="0">
      <selection activeCell="O1" sqref="O1:O1048576"/>
    </sheetView>
  </sheetViews>
  <sheetFormatPr defaultRowHeight="12.75" x14ac:dyDescent="0.2"/>
  <cols>
    <col min="1" max="1" width="6" style="54" customWidth="1"/>
    <col min="2" max="2" width="12.28515625" style="54" customWidth="1"/>
    <col min="3" max="4" width="9.140625" style="54"/>
    <col min="5" max="5" width="5" style="54" bestFit="1" customWidth="1"/>
    <col min="6" max="6" width="9.140625" style="54"/>
    <col min="7" max="7" width="35.140625" style="54" customWidth="1"/>
    <col min="8" max="8" width="15.5703125" style="54" customWidth="1"/>
    <col min="9" max="9" width="15.85546875" style="54" customWidth="1"/>
    <col min="10" max="10" width="15.140625" style="54" customWidth="1"/>
    <col min="11" max="11" width="15.5703125" style="54" customWidth="1"/>
    <col min="12" max="12" width="15.42578125" style="54" customWidth="1"/>
    <col min="13" max="13" width="16.28515625" style="54" customWidth="1"/>
    <col min="14" max="14" width="15.42578125" style="54" customWidth="1"/>
    <col min="15" max="254" width="9.140625" style="54"/>
    <col min="255" max="255" width="6.42578125" style="54" bestFit="1" customWidth="1"/>
    <col min="256" max="256" width="12.28515625" style="54" customWidth="1"/>
    <col min="257" max="258" width="9.140625" style="54"/>
    <col min="259" max="259" width="5" style="54" bestFit="1" customWidth="1"/>
    <col min="260" max="260" width="9.140625" style="54"/>
    <col min="261" max="261" width="22" style="54" customWidth="1"/>
    <col min="262" max="262" width="12.85546875" style="54" bestFit="1" customWidth="1"/>
    <col min="263" max="265" width="12.85546875" style="54" customWidth="1"/>
    <col min="266" max="266" width="11.28515625" style="54" bestFit="1" customWidth="1"/>
    <col min="267" max="267" width="13.7109375" style="54" customWidth="1"/>
    <col min="268" max="268" width="13.28515625" style="54" bestFit="1" customWidth="1"/>
    <col min="269" max="269" width="12.140625" style="54" bestFit="1" customWidth="1"/>
    <col min="270" max="510" width="9.140625" style="54"/>
    <col min="511" max="511" width="6.42578125" style="54" bestFit="1" customWidth="1"/>
    <col min="512" max="512" width="12.28515625" style="54" customWidth="1"/>
    <col min="513" max="514" width="9.140625" style="54"/>
    <col min="515" max="515" width="5" style="54" bestFit="1" customWidth="1"/>
    <col min="516" max="516" width="9.140625" style="54"/>
    <col min="517" max="517" width="22" style="54" customWidth="1"/>
    <col min="518" max="518" width="12.85546875" style="54" bestFit="1" customWidth="1"/>
    <col min="519" max="521" width="12.85546875" style="54" customWidth="1"/>
    <col min="522" max="522" width="11.28515625" style="54" bestFit="1" customWidth="1"/>
    <col min="523" max="523" width="13.7109375" style="54" customWidth="1"/>
    <col min="524" max="524" width="13.28515625" style="54" bestFit="1" customWidth="1"/>
    <col min="525" max="525" width="12.140625" style="54" bestFit="1" customWidth="1"/>
    <col min="526" max="766" width="9.140625" style="54"/>
    <col min="767" max="767" width="6.42578125" style="54" bestFit="1" customWidth="1"/>
    <col min="768" max="768" width="12.28515625" style="54" customWidth="1"/>
    <col min="769" max="770" width="9.140625" style="54"/>
    <col min="771" max="771" width="5" style="54" bestFit="1" customWidth="1"/>
    <col min="772" max="772" width="9.140625" style="54"/>
    <col min="773" max="773" width="22" style="54" customWidth="1"/>
    <col min="774" max="774" width="12.85546875" style="54" bestFit="1" customWidth="1"/>
    <col min="775" max="777" width="12.85546875" style="54" customWidth="1"/>
    <col min="778" max="778" width="11.28515625" style="54" bestFit="1" customWidth="1"/>
    <col min="779" max="779" width="13.7109375" style="54" customWidth="1"/>
    <col min="780" max="780" width="13.28515625" style="54" bestFit="1" customWidth="1"/>
    <col min="781" max="781" width="12.140625" style="54" bestFit="1" customWidth="1"/>
    <col min="782" max="1022" width="9.140625" style="54"/>
    <col min="1023" max="1023" width="6.42578125" style="54" bestFit="1" customWidth="1"/>
    <col min="1024" max="1024" width="12.28515625" style="54" customWidth="1"/>
    <col min="1025" max="1026" width="9.140625" style="54"/>
    <col min="1027" max="1027" width="5" style="54" bestFit="1" customWidth="1"/>
    <col min="1028" max="1028" width="9.140625" style="54"/>
    <col min="1029" max="1029" width="22" style="54" customWidth="1"/>
    <col min="1030" max="1030" width="12.85546875" style="54" bestFit="1" customWidth="1"/>
    <col min="1031" max="1033" width="12.85546875" style="54" customWidth="1"/>
    <col min="1034" max="1034" width="11.28515625" style="54" bestFit="1" customWidth="1"/>
    <col min="1035" max="1035" width="13.7109375" style="54" customWidth="1"/>
    <col min="1036" max="1036" width="13.28515625" style="54" bestFit="1" customWidth="1"/>
    <col min="1037" max="1037" width="12.140625" style="54" bestFit="1" customWidth="1"/>
    <col min="1038" max="1278" width="9.140625" style="54"/>
    <col min="1279" max="1279" width="6.42578125" style="54" bestFit="1" customWidth="1"/>
    <col min="1280" max="1280" width="12.28515625" style="54" customWidth="1"/>
    <col min="1281" max="1282" width="9.140625" style="54"/>
    <col min="1283" max="1283" width="5" style="54" bestFit="1" customWidth="1"/>
    <col min="1284" max="1284" width="9.140625" style="54"/>
    <col min="1285" max="1285" width="22" style="54" customWidth="1"/>
    <col min="1286" max="1286" width="12.85546875" style="54" bestFit="1" customWidth="1"/>
    <col min="1287" max="1289" width="12.85546875" style="54" customWidth="1"/>
    <col min="1290" max="1290" width="11.28515625" style="54" bestFit="1" customWidth="1"/>
    <col min="1291" max="1291" width="13.7109375" style="54" customWidth="1"/>
    <col min="1292" max="1292" width="13.28515625" style="54" bestFit="1" customWidth="1"/>
    <col min="1293" max="1293" width="12.140625" style="54" bestFit="1" customWidth="1"/>
    <col min="1294" max="1534" width="9.140625" style="54"/>
    <col min="1535" max="1535" width="6.42578125" style="54" bestFit="1" customWidth="1"/>
    <col min="1536" max="1536" width="12.28515625" style="54" customWidth="1"/>
    <col min="1537" max="1538" width="9.140625" style="54"/>
    <col min="1539" max="1539" width="5" style="54" bestFit="1" customWidth="1"/>
    <col min="1540" max="1540" width="9.140625" style="54"/>
    <col min="1541" max="1541" width="22" style="54" customWidth="1"/>
    <col min="1542" max="1542" width="12.85546875" style="54" bestFit="1" customWidth="1"/>
    <col min="1543" max="1545" width="12.85546875" style="54" customWidth="1"/>
    <col min="1546" max="1546" width="11.28515625" style="54" bestFit="1" customWidth="1"/>
    <col min="1547" max="1547" width="13.7109375" style="54" customWidth="1"/>
    <col min="1548" max="1548" width="13.28515625" style="54" bestFit="1" customWidth="1"/>
    <col min="1549" max="1549" width="12.140625" style="54" bestFit="1" customWidth="1"/>
    <col min="1550" max="1790" width="9.140625" style="54"/>
    <col min="1791" max="1791" width="6.42578125" style="54" bestFit="1" customWidth="1"/>
    <col min="1792" max="1792" width="12.28515625" style="54" customWidth="1"/>
    <col min="1793" max="1794" width="9.140625" style="54"/>
    <col min="1795" max="1795" width="5" style="54" bestFit="1" customWidth="1"/>
    <col min="1796" max="1796" width="9.140625" style="54"/>
    <col min="1797" max="1797" width="22" style="54" customWidth="1"/>
    <col min="1798" max="1798" width="12.85546875" style="54" bestFit="1" customWidth="1"/>
    <col min="1799" max="1801" width="12.85546875" style="54" customWidth="1"/>
    <col min="1802" max="1802" width="11.28515625" style="54" bestFit="1" customWidth="1"/>
    <col min="1803" max="1803" width="13.7109375" style="54" customWidth="1"/>
    <col min="1804" max="1804" width="13.28515625" style="54" bestFit="1" customWidth="1"/>
    <col min="1805" max="1805" width="12.140625" style="54" bestFit="1" customWidth="1"/>
    <col min="1806" max="2046" width="9.140625" style="54"/>
    <col min="2047" max="2047" width="6.42578125" style="54" bestFit="1" customWidth="1"/>
    <col min="2048" max="2048" width="12.28515625" style="54" customWidth="1"/>
    <col min="2049" max="2050" width="9.140625" style="54"/>
    <col min="2051" max="2051" width="5" style="54" bestFit="1" customWidth="1"/>
    <col min="2052" max="2052" width="9.140625" style="54"/>
    <col min="2053" max="2053" width="22" style="54" customWidth="1"/>
    <col min="2054" max="2054" width="12.85546875" style="54" bestFit="1" customWidth="1"/>
    <col min="2055" max="2057" width="12.85546875" style="54" customWidth="1"/>
    <col min="2058" max="2058" width="11.28515625" style="54" bestFit="1" customWidth="1"/>
    <col min="2059" max="2059" width="13.7109375" style="54" customWidth="1"/>
    <col min="2060" max="2060" width="13.28515625" style="54" bestFit="1" customWidth="1"/>
    <col min="2061" max="2061" width="12.140625" style="54" bestFit="1" customWidth="1"/>
    <col min="2062" max="2302" width="9.140625" style="54"/>
    <col min="2303" max="2303" width="6.42578125" style="54" bestFit="1" customWidth="1"/>
    <col min="2304" max="2304" width="12.28515625" style="54" customWidth="1"/>
    <col min="2305" max="2306" width="9.140625" style="54"/>
    <col min="2307" max="2307" width="5" style="54" bestFit="1" customWidth="1"/>
    <col min="2308" max="2308" width="9.140625" style="54"/>
    <col min="2309" max="2309" width="22" style="54" customWidth="1"/>
    <col min="2310" max="2310" width="12.85546875" style="54" bestFit="1" customWidth="1"/>
    <col min="2311" max="2313" width="12.85546875" style="54" customWidth="1"/>
    <col min="2314" max="2314" width="11.28515625" style="54" bestFit="1" customWidth="1"/>
    <col min="2315" max="2315" width="13.7109375" style="54" customWidth="1"/>
    <col min="2316" max="2316" width="13.28515625" style="54" bestFit="1" customWidth="1"/>
    <col min="2317" max="2317" width="12.140625" style="54" bestFit="1" customWidth="1"/>
    <col min="2318" max="2558" width="9.140625" style="54"/>
    <col min="2559" max="2559" width="6.42578125" style="54" bestFit="1" customWidth="1"/>
    <col min="2560" max="2560" width="12.28515625" style="54" customWidth="1"/>
    <col min="2561" max="2562" width="9.140625" style="54"/>
    <col min="2563" max="2563" width="5" style="54" bestFit="1" customWidth="1"/>
    <col min="2564" max="2564" width="9.140625" style="54"/>
    <col min="2565" max="2565" width="22" style="54" customWidth="1"/>
    <col min="2566" max="2566" width="12.85546875" style="54" bestFit="1" customWidth="1"/>
    <col min="2567" max="2569" width="12.85546875" style="54" customWidth="1"/>
    <col min="2570" max="2570" width="11.28515625" style="54" bestFit="1" customWidth="1"/>
    <col min="2571" max="2571" width="13.7109375" style="54" customWidth="1"/>
    <col min="2572" max="2572" width="13.28515625" style="54" bestFit="1" customWidth="1"/>
    <col min="2573" max="2573" width="12.140625" style="54" bestFit="1" customWidth="1"/>
    <col min="2574" max="2814" width="9.140625" style="54"/>
    <col min="2815" max="2815" width="6.42578125" style="54" bestFit="1" customWidth="1"/>
    <col min="2816" max="2816" width="12.28515625" style="54" customWidth="1"/>
    <col min="2817" max="2818" width="9.140625" style="54"/>
    <col min="2819" max="2819" width="5" style="54" bestFit="1" customWidth="1"/>
    <col min="2820" max="2820" width="9.140625" style="54"/>
    <col min="2821" max="2821" width="22" style="54" customWidth="1"/>
    <col min="2822" max="2822" width="12.85546875" style="54" bestFit="1" customWidth="1"/>
    <col min="2823" max="2825" width="12.85546875" style="54" customWidth="1"/>
    <col min="2826" max="2826" width="11.28515625" style="54" bestFit="1" customWidth="1"/>
    <col min="2827" max="2827" width="13.7109375" style="54" customWidth="1"/>
    <col min="2828" max="2828" width="13.28515625" style="54" bestFit="1" customWidth="1"/>
    <col min="2829" max="2829" width="12.140625" style="54" bestFit="1" customWidth="1"/>
    <col min="2830" max="3070" width="9.140625" style="54"/>
    <col min="3071" max="3071" width="6.42578125" style="54" bestFit="1" customWidth="1"/>
    <col min="3072" max="3072" width="12.28515625" style="54" customWidth="1"/>
    <col min="3073" max="3074" width="9.140625" style="54"/>
    <col min="3075" max="3075" width="5" style="54" bestFit="1" customWidth="1"/>
    <col min="3076" max="3076" width="9.140625" style="54"/>
    <col min="3077" max="3077" width="22" style="54" customWidth="1"/>
    <col min="3078" max="3078" width="12.85546875" style="54" bestFit="1" customWidth="1"/>
    <col min="3079" max="3081" width="12.85546875" style="54" customWidth="1"/>
    <col min="3082" max="3082" width="11.28515625" style="54" bestFit="1" customWidth="1"/>
    <col min="3083" max="3083" width="13.7109375" style="54" customWidth="1"/>
    <col min="3084" max="3084" width="13.28515625" style="54" bestFit="1" customWidth="1"/>
    <col min="3085" max="3085" width="12.140625" style="54" bestFit="1" customWidth="1"/>
    <col min="3086" max="3326" width="9.140625" style="54"/>
    <col min="3327" max="3327" width="6.42578125" style="54" bestFit="1" customWidth="1"/>
    <col min="3328" max="3328" width="12.28515625" style="54" customWidth="1"/>
    <col min="3329" max="3330" width="9.140625" style="54"/>
    <col min="3331" max="3331" width="5" style="54" bestFit="1" customWidth="1"/>
    <col min="3332" max="3332" width="9.140625" style="54"/>
    <col min="3333" max="3333" width="22" style="54" customWidth="1"/>
    <col min="3334" max="3334" width="12.85546875" style="54" bestFit="1" customWidth="1"/>
    <col min="3335" max="3337" width="12.85546875" style="54" customWidth="1"/>
    <col min="3338" max="3338" width="11.28515625" style="54" bestFit="1" customWidth="1"/>
    <col min="3339" max="3339" width="13.7109375" style="54" customWidth="1"/>
    <col min="3340" max="3340" width="13.28515625" style="54" bestFit="1" customWidth="1"/>
    <col min="3341" max="3341" width="12.140625" style="54" bestFit="1" customWidth="1"/>
    <col min="3342" max="3582" width="9.140625" style="54"/>
    <col min="3583" max="3583" width="6.42578125" style="54" bestFit="1" customWidth="1"/>
    <col min="3584" max="3584" width="12.28515625" style="54" customWidth="1"/>
    <col min="3585" max="3586" width="9.140625" style="54"/>
    <col min="3587" max="3587" width="5" style="54" bestFit="1" customWidth="1"/>
    <col min="3588" max="3588" width="9.140625" style="54"/>
    <col min="3589" max="3589" width="22" style="54" customWidth="1"/>
    <col min="3590" max="3590" width="12.85546875" style="54" bestFit="1" customWidth="1"/>
    <col min="3591" max="3593" width="12.85546875" style="54" customWidth="1"/>
    <col min="3594" max="3594" width="11.28515625" style="54" bestFit="1" customWidth="1"/>
    <col min="3595" max="3595" width="13.7109375" style="54" customWidth="1"/>
    <col min="3596" max="3596" width="13.28515625" style="54" bestFit="1" customWidth="1"/>
    <col min="3597" max="3597" width="12.140625" style="54" bestFit="1" customWidth="1"/>
    <col min="3598" max="3838" width="9.140625" style="54"/>
    <col min="3839" max="3839" width="6.42578125" style="54" bestFit="1" customWidth="1"/>
    <col min="3840" max="3840" width="12.28515625" style="54" customWidth="1"/>
    <col min="3841" max="3842" width="9.140625" style="54"/>
    <col min="3843" max="3843" width="5" style="54" bestFit="1" customWidth="1"/>
    <col min="3844" max="3844" width="9.140625" style="54"/>
    <col min="3845" max="3845" width="22" style="54" customWidth="1"/>
    <col min="3846" max="3846" width="12.85546875" style="54" bestFit="1" customWidth="1"/>
    <col min="3847" max="3849" width="12.85546875" style="54" customWidth="1"/>
    <col min="3850" max="3850" width="11.28515625" style="54" bestFit="1" customWidth="1"/>
    <col min="3851" max="3851" width="13.7109375" style="54" customWidth="1"/>
    <col min="3852" max="3852" width="13.28515625" style="54" bestFit="1" customWidth="1"/>
    <col min="3853" max="3853" width="12.140625" style="54" bestFit="1" customWidth="1"/>
    <col min="3854" max="4094" width="9.140625" style="54"/>
    <col min="4095" max="4095" width="6.42578125" style="54" bestFit="1" customWidth="1"/>
    <col min="4096" max="4096" width="12.28515625" style="54" customWidth="1"/>
    <col min="4097" max="4098" width="9.140625" style="54"/>
    <col min="4099" max="4099" width="5" style="54" bestFit="1" customWidth="1"/>
    <col min="4100" max="4100" width="9.140625" style="54"/>
    <col min="4101" max="4101" width="22" style="54" customWidth="1"/>
    <col min="4102" max="4102" width="12.85546875" style="54" bestFit="1" customWidth="1"/>
    <col min="4103" max="4105" width="12.85546875" style="54" customWidth="1"/>
    <col min="4106" max="4106" width="11.28515625" style="54" bestFit="1" customWidth="1"/>
    <col min="4107" max="4107" width="13.7109375" style="54" customWidth="1"/>
    <col min="4108" max="4108" width="13.28515625" style="54" bestFit="1" customWidth="1"/>
    <col min="4109" max="4109" width="12.140625" style="54" bestFit="1" customWidth="1"/>
    <col min="4110" max="4350" width="9.140625" style="54"/>
    <col min="4351" max="4351" width="6.42578125" style="54" bestFit="1" customWidth="1"/>
    <col min="4352" max="4352" width="12.28515625" style="54" customWidth="1"/>
    <col min="4353" max="4354" width="9.140625" style="54"/>
    <col min="4355" max="4355" width="5" style="54" bestFit="1" customWidth="1"/>
    <col min="4356" max="4356" width="9.140625" style="54"/>
    <col min="4357" max="4357" width="22" style="54" customWidth="1"/>
    <col min="4358" max="4358" width="12.85546875" style="54" bestFit="1" customWidth="1"/>
    <col min="4359" max="4361" width="12.85546875" style="54" customWidth="1"/>
    <col min="4362" max="4362" width="11.28515625" style="54" bestFit="1" customWidth="1"/>
    <col min="4363" max="4363" width="13.7109375" style="54" customWidth="1"/>
    <col min="4364" max="4364" width="13.28515625" style="54" bestFit="1" customWidth="1"/>
    <col min="4365" max="4365" width="12.140625" style="54" bestFit="1" customWidth="1"/>
    <col min="4366" max="4606" width="9.140625" style="54"/>
    <col min="4607" max="4607" width="6.42578125" style="54" bestFit="1" customWidth="1"/>
    <col min="4608" max="4608" width="12.28515625" style="54" customWidth="1"/>
    <col min="4609" max="4610" width="9.140625" style="54"/>
    <col min="4611" max="4611" width="5" style="54" bestFit="1" customWidth="1"/>
    <col min="4612" max="4612" width="9.140625" style="54"/>
    <col min="4613" max="4613" width="22" style="54" customWidth="1"/>
    <col min="4614" max="4614" width="12.85546875" style="54" bestFit="1" customWidth="1"/>
    <col min="4615" max="4617" width="12.85546875" style="54" customWidth="1"/>
    <col min="4618" max="4618" width="11.28515625" style="54" bestFit="1" customWidth="1"/>
    <col min="4619" max="4619" width="13.7109375" style="54" customWidth="1"/>
    <col min="4620" max="4620" width="13.28515625" style="54" bestFit="1" customWidth="1"/>
    <col min="4621" max="4621" width="12.140625" style="54" bestFit="1" customWidth="1"/>
    <col min="4622" max="4862" width="9.140625" style="54"/>
    <col min="4863" max="4863" width="6.42578125" style="54" bestFit="1" customWidth="1"/>
    <col min="4864" max="4864" width="12.28515625" style="54" customWidth="1"/>
    <col min="4865" max="4866" width="9.140625" style="54"/>
    <col min="4867" max="4867" width="5" style="54" bestFit="1" customWidth="1"/>
    <col min="4868" max="4868" width="9.140625" style="54"/>
    <col min="4869" max="4869" width="22" style="54" customWidth="1"/>
    <col min="4870" max="4870" width="12.85546875" style="54" bestFit="1" customWidth="1"/>
    <col min="4871" max="4873" width="12.85546875" style="54" customWidth="1"/>
    <col min="4874" max="4874" width="11.28515625" style="54" bestFit="1" customWidth="1"/>
    <col min="4875" max="4875" width="13.7109375" style="54" customWidth="1"/>
    <col min="4876" max="4876" width="13.28515625" style="54" bestFit="1" customWidth="1"/>
    <col min="4877" max="4877" width="12.140625" style="54" bestFit="1" customWidth="1"/>
    <col min="4878" max="5118" width="9.140625" style="54"/>
    <col min="5119" max="5119" width="6.42578125" style="54" bestFit="1" customWidth="1"/>
    <col min="5120" max="5120" width="12.28515625" style="54" customWidth="1"/>
    <col min="5121" max="5122" width="9.140625" style="54"/>
    <col min="5123" max="5123" width="5" style="54" bestFit="1" customWidth="1"/>
    <col min="5124" max="5124" width="9.140625" style="54"/>
    <col min="5125" max="5125" width="22" style="54" customWidth="1"/>
    <col min="5126" max="5126" width="12.85546875" style="54" bestFit="1" customWidth="1"/>
    <col min="5127" max="5129" width="12.85546875" style="54" customWidth="1"/>
    <col min="5130" max="5130" width="11.28515625" style="54" bestFit="1" customWidth="1"/>
    <col min="5131" max="5131" width="13.7109375" style="54" customWidth="1"/>
    <col min="5132" max="5132" width="13.28515625" style="54" bestFit="1" customWidth="1"/>
    <col min="5133" max="5133" width="12.140625" style="54" bestFit="1" customWidth="1"/>
    <col min="5134" max="5374" width="9.140625" style="54"/>
    <col min="5375" max="5375" width="6.42578125" style="54" bestFit="1" customWidth="1"/>
    <col min="5376" max="5376" width="12.28515625" style="54" customWidth="1"/>
    <col min="5377" max="5378" width="9.140625" style="54"/>
    <col min="5379" max="5379" width="5" style="54" bestFit="1" customWidth="1"/>
    <col min="5380" max="5380" width="9.140625" style="54"/>
    <col min="5381" max="5381" width="22" style="54" customWidth="1"/>
    <col min="5382" max="5382" width="12.85546875" style="54" bestFit="1" customWidth="1"/>
    <col min="5383" max="5385" width="12.85546875" style="54" customWidth="1"/>
    <col min="5386" max="5386" width="11.28515625" style="54" bestFit="1" customWidth="1"/>
    <col min="5387" max="5387" width="13.7109375" style="54" customWidth="1"/>
    <col min="5388" max="5388" width="13.28515625" style="54" bestFit="1" customWidth="1"/>
    <col min="5389" max="5389" width="12.140625" style="54" bestFit="1" customWidth="1"/>
    <col min="5390" max="5630" width="9.140625" style="54"/>
    <col min="5631" max="5631" width="6.42578125" style="54" bestFit="1" customWidth="1"/>
    <col min="5632" max="5632" width="12.28515625" style="54" customWidth="1"/>
    <col min="5633" max="5634" width="9.140625" style="54"/>
    <col min="5635" max="5635" width="5" style="54" bestFit="1" customWidth="1"/>
    <col min="5636" max="5636" width="9.140625" style="54"/>
    <col min="5637" max="5637" width="22" style="54" customWidth="1"/>
    <col min="5638" max="5638" width="12.85546875" style="54" bestFit="1" customWidth="1"/>
    <col min="5639" max="5641" width="12.85546875" style="54" customWidth="1"/>
    <col min="5642" max="5642" width="11.28515625" style="54" bestFit="1" customWidth="1"/>
    <col min="5643" max="5643" width="13.7109375" style="54" customWidth="1"/>
    <col min="5644" max="5644" width="13.28515625" style="54" bestFit="1" customWidth="1"/>
    <col min="5645" max="5645" width="12.140625" style="54" bestFit="1" customWidth="1"/>
    <col min="5646" max="5886" width="9.140625" style="54"/>
    <col min="5887" max="5887" width="6.42578125" style="54" bestFit="1" customWidth="1"/>
    <col min="5888" max="5888" width="12.28515625" style="54" customWidth="1"/>
    <col min="5889" max="5890" width="9.140625" style="54"/>
    <col min="5891" max="5891" width="5" style="54" bestFit="1" customWidth="1"/>
    <col min="5892" max="5892" width="9.140625" style="54"/>
    <col min="5893" max="5893" width="22" style="54" customWidth="1"/>
    <col min="5894" max="5894" width="12.85546875" style="54" bestFit="1" customWidth="1"/>
    <col min="5895" max="5897" width="12.85546875" style="54" customWidth="1"/>
    <col min="5898" max="5898" width="11.28515625" style="54" bestFit="1" customWidth="1"/>
    <col min="5899" max="5899" width="13.7109375" style="54" customWidth="1"/>
    <col min="5900" max="5900" width="13.28515625" style="54" bestFit="1" customWidth="1"/>
    <col min="5901" max="5901" width="12.140625" style="54" bestFit="1" customWidth="1"/>
    <col min="5902" max="6142" width="9.140625" style="54"/>
    <col min="6143" max="6143" width="6.42578125" style="54" bestFit="1" customWidth="1"/>
    <col min="6144" max="6144" width="12.28515625" style="54" customWidth="1"/>
    <col min="6145" max="6146" width="9.140625" style="54"/>
    <col min="6147" max="6147" width="5" style="54" bestFit="1" customWidth="1"/>
    <col min="6148" max="6148" width="9.140625" style="54"/>
    <col min="6149" max="6149" width="22" style="54" customWidth="1"/>
    <col min="6150" max="6150" width="12.85546875" style="54" bestFit="1" customWidth="1"/>
    <col min="6151" max="6153" width="12.85546875" style="54" customWidth="1"/>
    <col min="6154" max="6154" width="11.28515625" style="54" bestFit="1" customWidth="1"/>
    <col min="6155" max="6155" width="13.7109375" style="54" customWidth="1"/>
    <col min="6156" max="6156" width="13.28515625" style="54" bestFit="1" customWidth="1"/>
    <col min="6157" max="6157" width="12.140625" style="54" bestFit="1" customWidth="1"/>
    <col min="6158" max="6398" width="9.140625" style="54"/>
    <col min="6399" max="6399" width="6.42578125" style="54" bestFit="1" customWidth="1"/>
    <col min="6400" max="6400" width="12.28515625" style="54" customWidth="1"/>
    <col min="6401" max="6402" width="9.140625" style="54"/>
    <col min="6403" max="6403" width="5" style="54" bestFit="1" customWidth="1"/>
    <col min="6404" max="6404" width="9.140625" style="54"/>
    <col min="6405" max="6405" width="22" style="54" customWidth="1"/>
    <col min="6406" max="6406" width="12.85546875" style="54" bestFit="1" customWidth="1"/>
    <col min="6407" max="6409" width="12.85546875" style="54" customWidth="1"/>
    <col min="6410" max="6410" width="11.28515625" style="54" bestFit="1" customWidth="1"/>
    <col min="6411" max="6411" width="13.7109375" style="54" customWidth="1"/>
    <col min="6412" max="6412" width="13.28515625" style="54" bestFit="1" customWidth="1"/>
    <col min="6413" max="6413" width="12.140625" style="54" bestFit="1" customWidth="1"/>
    <col min="6414" max="6654" width="9.140625" style="54"/>
    <col min="6655" max="6655" width="6.42578125" style="54" bestFit="1" customWidth="1"/>
    <col min="6656" max="6656" width="12.28515625" style="54" customWidth="1"/>
    <col min="6657" max="6658" width="9.140625" style="54"/>
    <col min="6659" max="6659" width="5" style="54" bestFit="1" customWidth="1"/>
    <col min="6660" max="6660" width="9.140625" style="54"/>
    <col min="6661" max="6661" width="22" style="54" customWidth="1"/>
    <col min="6662" max="6662" width="12.85546875" style="54" bestFit="1" customWidth="1"/>
    <col min="6663" max="6665" width="12.85546875" style="54" customWidth="1"/>
    <col min="6666" max="6666" width="11.28515625" style="54" bestFit="1" customWidth="1"/>
    <col min="6667" max="6667" width="13.7109375" style="54" customWidth="1"/>
    <col min="6668" max="6668" width="13.28515625" style="54" bestFit="1" customWidth="1"/>
    <col min="6669" max="6669" width="12.140625" style="54" bestFit="1" customWidth="1"/>
    <col min="6670" max="6910" width="9.140625" style="54"/>
    <col min="6911" max="6911" width="6.42578125" style="54" bestFit="1" customWidth="1"/>
    <col min="6912" max="6912" width="12.28515625" style="54" customWidth="1"/>
    <col min="6913" max="6914" width="9.140625" style="54"/>
    <col min="6915" max="6915" width="5" style="54" bestFit="1" customWidth="1"/>
    <col min="6916" max="6916" width="9.140625" style="54"/>
    <col min="6917" max="6917" width="22" style="54" customWidth="1"/>
    <col min="6918" max="6918" width="12.85546875" style="54" bestFit="1" customWidth="1"/>
    <col min="6919" max="6921" width="12.85546875" style="54" customWidth="1"/>
    <col min="6922" max="6922" width="11.28515625" style="54" bestFit="1" customWidth="1"/>
    <col min="6923" max="6923" width="13.7109375" style="54" customWidth="1"/>
    <col min="6924" max="6924" width="13.28515625" style="54" bestFit="1" customWidth="1"/>
    <col min="6925" max="6925" width="12.140625" style="54" bestFit="1" customWidth="1"/>
    <col min="6926" max="7166" width="9.140625" style="54"/>
    <col min="7167" max="7167" width="6.42578125" style="54" bestFit="1" customWidth="1"/>
    <col min="7168" max="7168" width="12.28515625" style="54" customWidth="1"/>
    <col min="7169" max="7170" width="9.140625" style="54"/>
    <col min="7171" max="7171" width="5" style="54" bestFit="1" customWidth="1"/>
    <col min="7172" max="7172" width="9.140625" style="54"/>
    <col min="7173" max="7173" width="22" style="54" customWidth="1"/>
    <col min="7174" max="7174" width="12.85546875" style="54" bestFit="1" customWidth="1"/>
    <col min="7175" max="7177" width="12.85546875" style="54" customWidth="1"/>
    <col min="7178" max="7178" width="11.28515625" style="54" bestFit="1" customWidth="1"/>
    <col min="7179" max="7179" width="13.7109375" style="54" customWidth="1"/>
    <col min="7180" max="7180" width="13.28515625" style="54" bestFit="1" customWidth="1"/>
    <col min="7181" max="7181" width="12.140625" style="54" bestFit="1" customWidth="1"/>
    <col min="7182" max="7422" width="9.140625" style="54"/>
    <col min="7423" max="7423" width="6.42578125" style="54" bestFit="1" customWidth="1"/>
    <col min="7424" max="7424" width="12.28515625" style="54" customWidth="1"/>
    <col min="7425" max="7426" width="9.140625" style="54"/>
    <col min="7427" max="7427" width="5" style="54" bestFit="1" customWidth="1"/>
    <col min="7428" max="7428" width="9.140625" style="54"/>
    <col min="7429" max="7429" width="22" style="54" customWidth="1"/>
    <col min="7430" max="7430" width="12.85546875" style="54" bestFit="1" customWidth="1"/>
    <col min="7431" max="7433" width="12.85546875" style="54" customWidth="1"/>
    <col min="7434" max="7434" width="11.28515625" style="54" bestFit="1" customWidth="1"/>
    <col min="7435" max="7435" width="13.7109375" style="54" customWidth="1"/>
    <col min="7436" max="7436" width="13.28515625" style="54" bestFit="1" customWidth="1"/>
    <col min="7437" max="7437" width="12.140625" style="54" bestFit="1" customWidth="1"/>
    <col min="7438" max="7678" width="9.140625" style="54"/>
    <col min="7679" max="7679" width="6.42578125" style="54" bestFit="1" customWidth="1"/>
    <col min="7680" max="7680" width="12.28515625" style="54" customWidth="1"/>
    <col min="7681" max="7682" width="9.140625" style="54"/>
    <col min="7683" max="7683" width="5" style="54" bestFit="1" customWidth="1"/>
    <col min="7684" max="7684" width="9.140625" style="54"/>
    <col min="7685" max="7685" width="22" style="54" customWidth="1"/>
    <col min="7686" max="7686" width="12.85546875" style="54" bestFit="1" customWidth="1"/>
    <col min="7687" max="7689" width="12.85546875" style="54" customWidth="1"/>
    <col min="7690" max="7690" width="11.28515625" style="54" bestFit="1" customWidth="1"/>
    <col min="7691" max="7691" width="13.7109375" style="54" customWidth="1"/>
    <col min="7692" max="7692" width="13.28515625" style="54" bestFit="1" customWidth="1"/>
    <col min="7693" max="7693" width="12.140625" style="54" bestFit="1" customWidth="1"/>
    <col min="7694" max="7934" width="9.140625" style="54"/>
    <col min="7935" max="7935" width="6.42578125" style="54" bestFit="1" customWidth="1"/>
    <col min="7936" max="7936" width="12.28515625" style="54" customWidth="1"/>
    <col min="7937" max="7938" width="9.140625" style="54"/>
    <col min="7939" max="7939" width="5" style="54" bestFit="1" customWidth="1"/>
    <col min="7940" max="7940" width="9.140625" style="54"/>
    <col min="7941" max="7941" width="22" style="54" customWidth="1"/>
    <col min="7942" max="7942" width="12.85546875" style="54" bestFit="1" customWidth="1"/>
    <col min="7943" max="7945" width="12.85546875" style="54" customWidth="1"/>
    <col min="7946" max="7946" width="11.28515625" style="54" bestFit="1" customWidth="1"/>
    <col min="7947" max="7947" width="13.7109375" style="54" customWidth="1"/>
    <col min="7948" max="7948" width="13.28515625" style="54" bestFit="1" customWidth="1"/>
    <col min="7949" max="7949" width="12.140625" style="54" bestFit="1" customWidth="1"/>
    <col min="7950" max="8190" width="9.140625" style="54"/>
    <col min="8191" max="8191" width="6.42578125" style="54" bestFit="1" customWidth="1"/>
    <col min="8192" max="8192" width="12.28515625" style="54" customWidth="1"/>
    <col min="8193" max="8194" width="9.140625" style="54"/>
    <col min="8195" max="8195" width="5" style="54" bestFit="1" customWidth="1"/>
    <col min="8196" max="8196" width="9.140625" style="54"/>
    <col min="8197" max="8197" width="22" style="54" customWidth="1"/>
    <col min="8198" max="8198" width="12.85546875" style="54" bestFit="1" customWidth="1"/>
    <col min="8199" max="8201" width="12.85546875" style="54" customWidth="1"/>
    <col min="8202" max="8202" width="11.28515625" style="54" bestFit="1" customWidth="1"/>
    <col min="8203" max="8203" width="13.7109375" style="54" customWidth="1"/>
    <col min="8204" max="8204" width="13.28515625" style="54" bestFit="1" customWidth="1"/>
    <col min="8205" max="8205" width="12.140625" style="54" bestFit="1" customWidth="1"/>
    <col min="8206" max="8446" width="9.140625" style="54"/>
    <col min="8447" max="8447" width="6.42578125" style="54" bestFit="1" customWidth="1"/>
    <col min="8448" max="8448" width="12.28515625" style="54" customWidth="1"/>
    <col min="8449" max="8450" width="9.140625" style="54"/>
    <col min="8451" max="8451" width="5" style="54" bestFit="1" customWidth="1"/>
    <col min="8452" max="8452" width="9.140625" style="54"/>
    <col min="8453" max="8453" width="22" style="54" customWidth="1"/>
    <col min="8454" max="8454" width="12.85546875" style="54" bestFit="1" customWidth="1"/>
    <col min="8455" max="8457" width="12.85546875" style="54" customWidth="1"/>
    <col min="8458" max="8458" width="11.28515625" style="54" bestFit="1" customWidth="1"/>
    <col min="8459" max="8459" width="13.7109375" style="54" customWidth="1"/>
    <col min="8460" max="8460" width="13.28515625" style="54" bestFit="1" customWidth="1"/>
    <col min="8461" max="8461" width="12.140625" style="54" bestFit="1" customWidth="1"/>
    <col min="8462" max="8702" width="9.140625" style="54"/>
    <col min="8703" max="8703" width="6.42578125" style="54" bestFit="1" customWidth="1"/>
    <col min="8704" max="8704" width="12.28515625" style="54" customWidth="1"/>
    <col min="8705" max="8706" width="9.140625" style="54"/>
    <col min="8707" max="8707" width="5" style="54" bestFit="1" customWidth="1"/>
    <col min="8708" max="8708" width="9.140625" style="54"/>
    <col min="8709" max="8709" width="22" style="54" customWidth="1"/>
    <col min="8710" max="8710" width="12.85546875" style="54" bestFit="1" customWidth="1"/>
    <col min="8711" max="8713" width="12.85546875" style="54" customWidth="1"/>
    <col min="8714" max="8714" width="11.28515625" style="54" bestFit="1" customWidth="1"/>
    <col min="8715" max="8715" width="13.7109375" style="54" customWidth="1"/>
    <col min="8716" max="8716" width="13.28515625" style="54" bestFit="1" customWidth="1"/>
    <col min="8717" max="8717" width="12.140625" style="54" bestFit="1" customWidth="1"/>
    <col min="8718" max="8958" width="9.140625" style="54"/>
    <col min="8959" max="8959" width="6.42578125" style="54" bestFit="1" customWidth="1"/>
    <col min="8960" max="8960" width="12.28515625" style="54" customWidth="1"/>
    <col min="8961" max="8962" width="9.140625" style="54"/>
    <col min="8963" max="8963" width="5" style="54" bestFit="1" customWidth="1"/>
    <col min="8964" max="8964" width="9.140625" style="54"/>
    <col min="8965" max="8965" width="22" style="54" customWidth="1"/>
    <col min="8966" max="8966" width="12.85546875" style="54" bestFit="1" customWidth="1"/>
    <col min="8967" max="8969" width="12.85546875" style="54" customWidth="1"/>
    <col min="8970" max="8970" width="11.28515625" style="54" bestFit="1" customWidth="1"/>
    <col min="8971" max="8971" width="13.7109375" style="54" customWidth="1"/>
    <col min="8972" max="8972" width="13.28515625" style="54" bestFit="1" customWidth="1"/>
    <col min="8973" max="8973" width="12.140625" style="54" bestFit="1" customWidth="1"/>
    <col min="8974" max="9214" width="9.140625" style="54"/>
    <col min="9215" max="9215" width="6.42578125" style="54" bestFit="1" customWidth="1"/>
    <col min="9216" max="9216" width="12.28515625" style="54" customWidth="1"/>
    <col min="9217" max="9218" width="9.140625" style="54"/>
    <col min="9219" max="9219" width="5" style="54" bestFit="1" customWidth="1"/>
    <col min="9220" max="9220" width="9.140625" style="54"/>
    <col min="9221" max="9221" width="22" style="54" customWidth="1"/>
    <col min="9222" max="9222" width="12.85546875" style="54" bestFit="1" customWidth="1"/>
    <col min="9223" max="9225" width="12.85546875" style="54" customWidth="1"/>
    <col min="9226" max="9226" width="11.28515625" style="54" bestFit="1" customWidth="1"/>
    <col min="9227" max="9227" width="13.7109375" style="54" customWidth="1"/>
    <col min="9228" max="9228" width="13.28515625" style="54" bestFit="1" customWidth="1"/>
    <col min="9229" max="9229" width="12.140625" style="54" bestFit="1" customWidth="1"/>
    <col min="9230" max="9470" width="9.140625" style="54"/>
    <col min="9471" max="9471" width="6.42578125" style="54" bestFit="1" customWidth="1"/>
    <col min="9472" max="9472" width="12.28515625" style="54" customWidth="1"/>
    <col min="9473" max="9474" width="9.140625" style="54"/>
    <col min="9475" max="9475" width="5" style="54" bestFit="1" customWidth="1"/>
    <col min="9476" max="9476" width="9.140625" style="54"/>
    <col min="9477" max="9477" width="22" style="54" customWidth="1"/>
    <col min="9478" max="9478" width="12.85546875" style="54" bestFit="1" customWidth="1"/>
    <col min="9479" max="9481" width="12.85546875" style="54" customWidth="1"/>
    <col min="9482" max="9482" width="11.28515625" style="54" bestFit="1" customWidth="1"/>
    <col min="9483" max="9483" width="13.7109375" style="54" customWidth="1"/>
    <col min="9484" max="9484" width="13.28515625" style="54" bestFit="1" customWidth="1"/>
    <col min="9485" max="9485" width="12.140625" style="54" bestFit="1" customWidth="1"/>
    <col min="9486" max="9726" width="9.140625" style="54"/>
    <col min="9727" max="9727" width="6.42578125" style="54" bestFit="1" customWidth="1"/>
    <col min="9728" max="9728" width="12.28515625" style="54" customWidth="1"/>
    <col min="9729" max="9730" width="9.140625" style="54"/>
    <col min="9731" max="9731" width="5" style="54" bestFit="1" customWidth="1"/>
    <col min="9732" max="9732" width="9.140625" style="54"/>
    <col min="9733" max="9733" width="22" style="54" customWidth="1"/>
    <col min="9734" max="9734" width="12.85546875" style="54" bestFit="1" customWidth="1"/>
    <col min="9735" max="9737" width="12.85546875" style="54" customWidth="1"/>
    <col min="9738" max="9738" width="11.28515625" style="54" bestFit="1" customWidth="1"/>
    <col min="9739" max="9739" width="13.7109375" style="54" customWidth="1"/>
    <col min="9740" max="9740" width="13.28515625" style="54" bestFit="1" customWidth="1"/>
    <col min="9741" max="9741" width="12.140625" style="54" bestFit="1" customWidth="1"/>
    <col min="9742" max="9982" width="9.140625" style="54"/>
    <col min="9983" max="9983" width="6.42578125" style="54" bestFit="1" customWidth="1"/>
    <col min="9984" max="9984" width="12.28515625" style="54" customWidth="1"/>
    <col min="9985" max="9986" width="9.140625" style="54"/>
    <col min="9987" max="9987" width="5" style="54" bestFit="1" customWidth="1"/>
    <col min="9988" max="9988" width="9.140625" style="54"/>
    <col min="9989" max="9989" width="22" style="54" customWidth="1"/>
    <col min="9990" max="9990" width="12.85546875" style="54" bestFit="1" customWidth="1"/>
    <col min="9991" max="9993" width="12.85546875" style="54" customWidth="1"/>
    <col min="9994" max="9994" width="11.28515625" style="54" bestFit="1" customWidth="1"/>
    <col min="9995" max="9995" width="13.7109375" style="54" customWidth="1"/>
    <col min="9996" max="9996" width="13.28515625" style="54" bestFit="1" customWidth="1"/>
    <col min="9997" max="9997" width="12.140625" style="54" bestFit="1" customWidth="1"/>
    <col min="9998" max="10238" width="9.140625" style="54"/>
    <col min="10239" max="10239" width="6.42578125" style="54" bestFit="1" customWidth="1"/>
    <col min="10240" max="10240" width="12.28515625" style="54" customWidth="1"/>
    <col min="10241" max="10242" width="9.140625" style="54"/>
    <col min="10243" max="10243" width="5" style="54" bestFit="1" customWidth="1"/>
    <col min="10244" max="10244" width="9.140625" style="54"/>
    <col min="10245" max="10245" width="22" style="54" customWidth="1"/>
    <col min="10246" max="10246" width="12.85546875" style="54" bestFit="1" customWidth="1"/>
    <col min="10247" max="10249" width="12.85546875" style="54" customWidth="1"/>
    <col min="10250" max="10250" width="11.28515625" style="54" bestFit="1" customWidth="1"/>
    <col min="10251" max="10251" width="13.7109375" style="54" customWidth="1"/>
    <col min="10252" max="10252" width="13.28515625" style="54" bestFit="1" customWidth="1"/>
    <col min="10253" max="10253" width="12.140625" style="54" bestFit="1" customWidth="1"/>
    <col min="10254" max="10494" width="9.140625" style="54"/>
    <col min="10495" max="10495" width="6.42578125" style="54" bestFit="1" customWidth="1"/>
    <col min="10496" max="10496" width="12.28515625" style="54" customWidth="1"/>
    <col min="10497" max="10498" width="9.140625" style="54"/>
    <col min="10499" max="10499" width="5" style="54" bestFit="1" customWidth="1"/>
    <col min="10500" max="10500" width="9.140625" style="54"/>
    <col min="10501" max="10501" width="22" style="54" customWidth="1"/>
    <col min="10502" max="10502" width="12.85546875" style="54" bestFit="1" customWidth="1"/>
    <col min="10503" max="10505" width="12.85546875" style="54" customWidth="1"/>
    <col min="10506" max="10506" width="11.28515625" style="54" bestFit="1" customWidth="1"/>
    <col min="10507" max="10507" width="13.7109375" style="54" customWidth="1"/>
    <col min="10508" max="10508" width="13.28515625" style="54" bestFit="1" customWidth="1"/>
    <col min="10509" max="10509" width="12.140625" style="54" bestFit="1" customWidth="1"/>
    <col min="10510" max="10750" width="9.140625" style="54"/>
    <col min="10751" max="10751" width="6.42578125" style="54" bestFit="1" customWidth="1"/>
    <col min="10752" max="10752" width="12.28515625" style="54" customWidth="1"/>
    <col min="10753" max="10754" width="9.140625" style="54"/>
    <col min="10755" max="10755" width="5" style="54" bestFit="1" customWidth="1"/>
    <col min="10756" max="10756" width="9.140625" style="54"/>
    <col min="10757" max="10757" width="22" style="54" customWidth="1"/>
    <col min="10758" max="10758" width="12.85546875" style="54" bestFit="1" customWidth="1"/>
    <col min="10759" max="10761" width="12.85546875" style="54" customWidth="1"/>
    <col min="10762" max="10762" width="11.28515625" style="54" bestFit="1" customWidth="1"/>
    <col min="10763" max="10763" width="13.7109375" style="54" customWidth="1"/>
    <col min="10764" max="10764" width="13.28515625" style="54" bestFit="1" customWidth="1"/>
    <col min="10765" max="10765" width="12.140625" style="54" bestFit="1" customWidth="1"/>
    <col min="10766" max="11006" width="9.140625" style="54"/>
    <col min="11007" max="11007" width="6.42578125" style="54" bestFit="1" customWidth="1"/>
    <col min="11008" max="11008" width="12.28515625" style="54" customWidth="1"/>
    <col min="11009" max="11010" width="9.140625" style="54"/>
    <col min="11011" max="11011" width="5" style="54" bestFit="1" customWidth="1"/>
    <col min="11012" max="11012" width="9.140625" style="54"/>
    <col min="11013" max="11013" width="22" style="54" customWidth="1"/>
    <col min="11014" max="11014" width="12.85546875" style="54" bestFit="1" customWidth="1"/>
    <col min="11015" max="11017" width="12.85546875" style="54" customWidth="1"/>
    <col min="11018" max="11018" width="11.28515625" style="54" bestFit="1" customWidth="1"/>
    <col min="11019" max="11019" width="13.7109375" style="54" customWidth="1"/>
    <col min="11020" max="11020" width="13.28515625" style="54" bestFit="1" customWidth="1"/>
    <col min="11021" max="11021" width="12.140625" style="54" bestFit="1" customWidth="1"/>
    <col min="11022" max="11262" width="9.140625" style="54"/>
    <col min="11263" max="11263" width="6.42578125" style="54" bestFit="1" customWidth="1"/>
    <col min="11264" max="11264" width="12.28515625" style="54" customWidth="1"/>
    <col min="11265" max="11266" width="9.140625" style="54"/>
    <col min="11267" max="11267" width="5" style="54" bestFit="1" customWidth="1"/>
    <col min="11268" max="11268" width="9.140625" style="54"/>
    <col min="11269" max="11269" width="22" style="54" customWidth="1"/>
    <col min="11270" max="11270" width="12.85546875" style="54" bestFit="1" customWidth="1"/>
    <col min="11271" max="11273" width="12.85546875" style="54" customWidth="1"/>
    <col min="11274" max="11274" width="11.28515625" style="54" bestFit="1" customWidth="1"/>
    <col min="11275" max="11275" width="13.7109375" style="54" customWidth="1"/>
    <col min="11276" max="11276" width="13.28515625" style="54" bestFit="1" customWidth="1"/>
    <col min="11277" max="11277" width="12.140625" style="54" bestFit="1" customWidth="1"/>
    <col min="11278" max="11518" width="9.140625" style="54"/>
    <col min="11519" max="11519" width="6.42578125" style="54" bestFit="1" customWidth="1"/>
    <col min="11520" max="11520" width="12.28515625" style="54" customWidth="1"/>
    <col min="11521" max="11522" width="9.140625" style="54"/>
    <col min="11523" max="11523" width="5" style="54" bestFit="1" customWidth="1"/>
    <col min="11524" max="11524" width="9.140625" style="54"/>
    <col min="11525" max="11525" width="22" style="54" customWidth="1"/>
    <col min="11526" max="11526" width="12.85546875" style="54" bestFit="1" customWidth="1"/>
    <col min="11527" max="11529" width="12.85546875" style="54" customWidth="1"/>
    <col min="11530" max="11530" width="11.28515625" style="54" bestFit="1" customWidth="1"/>
    <col min="11531" max="11531" width="13.7109375" style="54" customWidth="1"/>
    <col min="11532" max="11532" width="13.28515625" style="54" bestFit="1" customWidth="1"/>
    <col min="11533" max="11533" width="12.140625" style="54" bestFit="1" customWidth="1"/>
    <col min="11534" max="11774" width="9.140625" style="54"/>
    <col min="11775" max="11775" width="6.42578125" style="54" bestFit="1" customWidth="1"/>
    <col min="11776" max="11776" width="12.28515625" style="54" customWidth="1"/>
    <col min="11777" max="11778" width="9.140625" style="54"/>
    <col min="11779" max="11779" width="5" style="54" bestFit="1" customWidth="1"/>
    <col min="11780" max="11780" width="9.140625" style="54"/>
    <col min="11781" max="11781" width="22" style="54" customWidth="1"/>
    <col min="11782" max="11782" width="12.85546875" style="54" bestFit="1" customWidth="1"/>
    <col min="11783" max="11785" width="12.85546875" style="54" customWidth="1"/>
    <col min="11786" max="11786" width="11.28515625" style="54" bestFit="1" customWidth="1"/>
    <col min="11787" max="11787" width="13.7109375" style="54" customWidth="1"/>
    <col min="11788" max="11788" width="13.28515625" style="54" bestFit="1" customWidth="1"/>
    <col min="11789" max="11789" width="12.140625" style="54" bestFit="1" customWidth="1"/>
    <col min="11790" max="12030" width="9.140625" style="54"/>
    <col min="12031" max="12031" width="6.42578125" style="54" bestFit="1" customWidth="1"/>
    <col min="12032" max="12032" width="12.28515625" style="54" customWidth="1"/>
    <col min="12033" max="12034" width="9.140625" style="54"/>
    <col min="12035" max="12035" width="5" style="54" bestFit="1" customWidth="1"/>
    <col min="12036" max="12036" width="9.140625" style="54"/>
    <col min="12037" max="12037" width="22" style="54" customWidth="1"/>
    <col min="12038" max="12038" width="12.85546875" style="54" bestFit="1" customWidth="1"/>
    <col min="12039" max="12041" width="12.85546875" style="54" customWidth="1"/>
    <col min="12042" max="12042" width="11.28515625" style="54" bestFit="1" customWidth="1"/>
    <col min="12043" max="12043" width="13.7109375" style="54" customWidth="1"/>
    <col min="12044" max="12044" width="13.28515625" style="54" bestFit="1" customWidth="1"/>
    <col min="12045" max="12045" width="12.140625" style="54" bestFit="1" customWidth="1"/>
    <col min="12046" max="12286" width="9.140625" style="54"/>
    <col min="12287" max="12287" width="6.42578125" style="54" bestFit="1" customWidth="1"/>
    <col min="12288" max="12288" width="12.28515625" style="54" customWidth="1"/>
    <col min="12289" max="12290" width="9.140625" style="54"/>
    <col min="12291" max="12291" width="5" style="54" bestFit="1" customWidth="1"/>
    <col min="12292" max="12292" width="9.140625" style="54"/>
    <col min="12293" max="12293" width="22" style="54" customWidth="1"/>
    <col min="12294" max="12294" width="12.85546875" style="54" bestFit="1" customWidth="1"/>
    <col min="12295" max="12297" width="12.85546875" style="54" customWidth="1"/>
    <col min="12298" max="12298" width="11.28515625" style="54" bestFit="1" customWidth="1"/>
    <col min="12299" max="12299" width="13.7109375" style="54" customWidth="1"/>
    <col min="12300" max="12300" width="13.28515625" style="54" bestFit="1" customWidth="1"/>
    <col min="12301" max="12301" width="12.140625" style="54" bestFit="1" customWidth="1"/>
    <col min="12302" max="12542" width="9.140625" style="54"/>
    <col min="12543" max="12543" width="6.42578125" style="54" bestFit="1" customWidth="1"/>
    <col min="12544" max="12544" width="12.28515625" style="54" customWidth="1"/>
    <col min="12545" max="12546" width="9.140625" style="54"/>
    <col min="12547" max="12547" width="5" style="54" bestFit="1" customWidth="1"/>
    <col min="12548" max="12548" width="9.140625" style="54"/>
    <col min="12549" max="12549" width="22" style="54" customWidth="1"/>
    <col min="12550" max="12550" width="12.85546875" style="54" bestFit="1" customWidth="1"/>
    <col min="12551" max="12553" width="12.85546875" style="54" customWidth="1"/>
    <col min="12554" max="12554" width="11.28515625" style="54" bestFit="1" customWidth="1"/>
    <col min="12555" max="12555" width="13.7109375" style="54" customWidth="1"/>
    <col min="12556" max="12556" width="13.28515625" style="54" bestFit="1" customWidth="1"/>
    <col min="12557" max="12557" width="12.140625" style="54" bestFit="1" customWidth="1"/>
    <col min="12558" max="12798" width="9.140625" style="54"/>
    <col min="12799" max="12799" width="6.42578125" style="54" bestFit="1" customWidth="1"/>
    <col min="12800" max="12800" width="12.28515625" style="54" customWidth="1"/>
    <col min="12801" max="12802" width="9.140625" style="54"/>
    <col min="12803" max="12803" width="5" style="54" bestFit="1" customWidth="1"/>
    <col min="12804" max="12804" width="9.140625" style="54"/>
    <col min="12805" max="12805" width="22" style="54" customWidth="1"/>
    <col min="12806" max="12806" width="12.85546875" style="54" bestFit="1" customWidth="1"/>
    <col min="12807" max="12809" width="12.85546875" style="54" customWidth="1"/>
    <col min="12810" max="12810" width="11.28515625" style="54" bestFit="1" customWidth="1"/>
    <col min="12811" max="12811" width="13.7109375" style="54" customWidth="1"/>
    <col min="12812" max="12812" width="13.28515625" style="54" bestFit="1" customWidth="1"/>
    <col min="12813" max="12813" width="12.140625" style="54" bestFit="1" customWidth="1"/>
    <col min="12814" max="13054" width="9.140625" style="54"/>
    <col min="13055" max="13055" width="6.42578125" style="54" bestFit="1" customWidth="1"/>
    <col min="13056" max="13056" width="12.28515625" style="54" customWidth="1"/>
    <col min="13057" max="13058" width="9.140625" style="54"/>
    <col min="13059" max="13059" width="5" style="54" bestFit="1" customWidth="1"/>
    <col min="13060" max="13060" width="9.140625" style="54"/>
    <col min="13061" max="13061" width="22" style="54" customWidth="1"/>
    <col min="13062" max="13062" width="12.85546875" style="54" bestFit="1" customWidth="1"/>
    <col min="13063" max="13065" width="12.85546875" style="54" customWidth="1"/>
    <col min="13066" max="13066" width="11.28515625" style="54" bestFit="1" customWidth="1"/>
    <col min="13067" max="13067" width="13.7109375" style="54" customWidth="1"/>
    <col min="13068" max="13068" width="13.28515625" style="54" bestFit="1" customWidth="1"/>
    <col min="13069" max="13069" width="12.140625" style="54" bestFit="1" customWidth="1"/>
    <col min="13070" max="13310" width="9.140625" style="54"/>
    <col min="13311" max="13311" width="6.42578125" style="54" bestFit="1" customWidth="1"/>
    <col min="13312" max="13312" width="12.28515625" style="54" customWidth="1"/>
    <col min="13313" max="13314" width="9.140625" style="54"/>
    <col min="13315" max="13315" width="5" style="54" bestFit="1" customWidth="1"/>
    <col min="13316" max="13316" width="9.140625" style="54"/>
    <col min="13317" max="13317" width="22" style="54" customWidth="1"/>
    <col min="13318" max="13318" width="12.85546875" style="54" bestFit="1" customWidth="1"/>
    <col min="13319" max="13321" width="12.85546875" style="54" customWidth="1"/>
    <col min="13322" max="13322" width="11.28515625" style="54" bestFit="1" customWidth="1"/>
    <col min="13323" max="13323" width="13.7109375" style="54" customWidth="1"/>
    <col min="13324" max="13324" width="13.28515625" style="54" bestFit="1" customWidth="1"/>
    <col min="13325" max="13325" width="12.140625" style="54" bestFit="1" customWidth="1"/>
    <col min="13326" max="13566" width="9.140625" style="54"/>
    <col min="13567" max="13567" width="6.42578125" style="54" bestFit="1" customWidth="1"/>
    <col min="13568" max="13568" width="12.28515625" style="54" customWidth="1"/>
    <col min="13569" max="13570" width="9.140625" style="54"/>
    <col min="13571" max="13571" width="5" style="54" bestFit="1" customWidth="1"/>
    <col min="13572" max="13572" width="9.140625" style="54"/>
    <col min="13573" max="13573" width="22" style="54" customWidth="1"/>
    <col min="13574" max="13574" width="12.85546875" style="54" bestFit="1" customWidth="1"/>
    <col min="13575" max="13577" width="12.85546875" style="54" customWidth="1"/>
    <col min="13578" max="13578" width="11.28515625" style="54" bestFit="1" customWidth="1"/>
    <col min="13579" max="13579" width="13.7109375" style="54" customWidth="1"/>
    <col min="13580" max="13580" width="13.28515625" style="54" bestFit="1" customWidth="1"/>
    <col min="13581" max="13581" width="12.140625" style="54" bestFit="1" customWidth="1"/>
    <col min="13582" max="13822" width="9.140625" style="54"/>
    <col min="13823" max="13823" width="6.42578125" style="54" bestFit="1" customWidth="1"/>
    <col min="13824" max="13824" width="12.28515625" style="54" customWidth="1"/>
    <col min="13825" max="13826" width="9.140625" style="54"/>
    <col min="13827" max="13827" width="5" style="54" bestFit="1" customWidth="1"/>
    <col min="13828" max="13828" width="9.140625" style="54"/>
    <col min="13829" max="13829" width="22" style="54" customWidth="1"/>
    <col min="13830" max="13830" width="12.85546875" style="54" bestFit="1" customWidth="1"/>
    <col min="13831" max="13833" width="12.85546875" style="54" customWidth="1"/>
    <col min="13834" max="13834" width="11.28515625" style="54" bestFit="1" customWidth="1"/>
    <col min="13835" max="13835" width="13.7109375" style="54" customWidth="1"/>
    <col min="13836" max="13836" width="13.28515625" style="54" bestFit="1" customWidth="1"/>
    <col min="13837" max="13837" width="12.140625" style="54" bestFit="1" customWidth="1"/>
    <col min="13838" max="14078" width="9.140625" style="54"/>
    <col min="14079" max="14079" width="6.42578125" style="54" bestFit="1" customWidth="1"/>
    <col min="14080" max="14080" width="12.28515625" style="54" customWidth="1"/>
    <col min="14081" max="14082" width="9.140625" style="54"/>
    <col min="14083" max="14083" width="5" style="54" bestFit="1" customWidth="1"/>
    <col min="14084" max="14084" width="9.140625" style="54"/>
    <col min="14085" max="14085" width="22" style="54" customWidth="1"/>
    <col min="14086" max="14086" width="12.85546875" style="54" bestFit="1" customWidth="1"/>
    <col min="14087" max="14089" width="12.85546875" style="54" customWidth="1"/>
    <col min="14090" max="14090" width="11.28515625" style="54" bestFit="1" customWidth="1"/>
    <col min="14091" max="14091" width="13.7109375" style="54" customWidth="1"/>
    <col min="14092" max="14092" width="13.28515625" style="54" bestFit="1" customWidth="1"/>
    <col min="14093" max="14093" width="12.140625" style="54" bestFit="1" customWidth="1"/>
    <col min="14094" max="14334" width="9.140625" style="54"/>
    <col min="14335" max="14335" width="6.42578125" style="54" bestFit="1" customWidth="1"/>
    <col min="14336" max="14336" width="12.28515625" style="54" customWidth="1"/>
    <col min="14337" max="14338" width="9.140625" style="54"/>
    <col min="14339" max="14339" width="5" style="54" bestFit="1" customWidth="1"/>
    <col min="14340" max="14340" width="9.140625" style="54"/>
    <col min="14341" max="14341" width="22" style="54" customWidth="1"/>
    <col min="14342" max="14342" width="12.85546875" style="54" bestFit="1" customWidth="1"/>
    <col min="14343" max="14345" width="12.85546875" style="54" customWidth="1"/>
    <col min="14346" max="14346" width="11.28515625" style="54" bestFit="1" customWidth="1"/>
    <col min="14347" max="14347" width="13.7109375" style="54" customWidth="1"/>
    <col min="14348" max="14348" width="13.28515625" style="54" bestFit="1" customWidth="1"/>
    <col min="14349" max="14349" width="12.140625" style="54" bestFit="1" customWidth="1"/>
    <col min="14350" max="14590" width="9.140625" style="54"/>
    <col min="14591" max="14591" width="6.42578125" style="54" bestFit="1" customWidth="1"/>
    <col min="14592" max="14592" width="12.28515625" style="54" customWidth="1"/>
    <col min="14593" max="14594" width="9.140625" style="54"/>
    <col min="14595" max="14595" width="5" style="54" bestFit="1" customWidth="1"/>
    <col min="14596" max="14596" width="9.140625" style="54"/>
    <col min="14597" max="14597" width="22" style="54" customWidth="1"/>
    <col min="14598" max="14598" width="12.85546875" style="54" bestFit="1" customWidth="1"/>
    <col min="14599" max="14601" width="12.85546875" style="54" customWidth="1"/>
    <col min="14602" max="14602" width="11.28515625" style="54" bestFit="1" customWidth="1"/>
    <col min="14603" max="14603" width="13.7109375" style="54" customWidth="1"/>
    <col min="14604" max="14604" width="13.28515625" style="54" bestFit="1" customWidth="1"/>
    <col min="14605" max="14605" width="12.140625" style="54" bestFit="1" customWidth="1"/>
    <col min="14606" max="14846" width="9.140625" style="54"/>
    <col min="14847" max="14847" width="6.42578125" style="54" bestFit="1" customWidth="1"/>
    <col min="14848" max="14848" width="12.28515625" style="54" customWidth="1"/>
    <col min="14849" max="14850" width="9.140625" style="54"/>
    <col min="14851" max="14851" width="5" style="54" bestFit="1" customWidth="1"/>
    <col min="14852" max="14852" width="9.140625" style="54"/>
    <col min="14853" max="14853" width="22" style="54" customWidth="1"/>
    <col min="14854" max="14854" width="12.85546875" style="54" bestFit="1" customWidth="1"/>
    <col min="14855" max="14857" width="12.85546875" style="54" customWidth="1"/>
    <col min="14858" max="14858" width="11.28515625" style="54" bestFit="1" customWidth="1"/>
    <col min="14859" max="14859" width="13.7109375" style="54" customWidth="1"/>
    <col min="14860" max="14860" width="13.28515625" style="54" bestFit="1" customWidth="1"/>
    <col min="14861" max="14861" width="12.140625" style="54" bestFit="1" customWidth="1"/>
    <col min="14862" max="15102" width="9.140625" style="54"/>
    <col min="15103" max="15103" width="6.42578125" style="54" bestFit="1" customWidth="1"/>
    <col min="15104" max="15104" width="12.28515625" style="54" customWidth="1"/>
    <col min="15105" max="15106" width="9.140625" style="54"/>
    <col min="15107" max="15107" width="5" style="54" bestFit="1" customWidth="1"/>
    <col min="15108" max="15108" width="9.140625" style="54"/>
    <col min="15109" max="15109" width="22" style="54" customWidth="1"/>
    <col min="15110" max="15110" width="12.85546875" style="54" bestFit="1" customWidth="1"/>
    <col min="15111" max="15113" width="12.85546875" style="54" customWidth="1"/>
    <col min="15114" max="15114" width="11.28515625" style="54" bestFit="1" customWidth="1"/>
    <col min="15115" max="15115" width="13.7109375" style="54" customWidth="1"/>
    <col min="15116" max="15116" width="13.28515625" style="54" bestFit="1" customWidth="1"/>
    <col min="15117" max="15117" width="12.140625" style="54" bestFit="1" customWidth="1"/>
    <col min="15118" max="15358" width="9.140625" style="54"/>
    <col min="15359" max="15359" width="6.42578125" style="54" bestFit="1" customWidth="1"/>
    <col min="15360" max="15360" width="12.28515625" style="54" customWidth="1"/>
    <col min="15361" max="15362" width="9.140625" style="54"/>
    <col min="15363" max="15363" width="5" style="54" bestFit="1" customWidth="1"/>
    <col min="15364" max="15364" width="9.140625" style="54"/>
    <col min="15365" max="15365" width="22" style="54" customWidth="1"/>
    <col min="15366" max="15366" width="12.85546875" style="54" bestFit="1" customWidth="1"/>
    <col min="15367" max="15369" width="12.85546875" style="54" customWidth="1"/>
    <col min="15370" max="15370" width="11.28515625" style="54" bestFit="1" customWidth="1"/>
    <col min="15371" max="15371" width="13.7109375" style="54" customWidth="1"/>
    <col min="15372" max="15372" width="13.28515625" style="54" bestFit="1" customWidth="1"/>
    <col min="15373" max="15373" width="12.140625" style="54" bestFit="1" customWidth="1"/>
    <col min="15374" max="15614" width="9.140625" style="54"/>
    <col min="15615" max="15615" width="6.42578125" style="54" bestFit="1" customWidth="1"/>
    <col min="15616" max="15616" width="12.28515625" style="54" customWidth="1"/>
    <col min="15617" max="15618" width="9.140625" style="54"/>
    <col min="15619" max="15619" width="5" style="54" bestFit="1" customWidth="1"/>
    <col min="15620" max="15620" width="9.140625" style="54"/>
    <col min="15621" max="15621" width="22" style="54" customWidth="1"/>
    <col min="15622" max="15622" width="12.85546875" style="54" bestFit="1" customWidth="1"/>
    <col min="15623" max="15625" width="12.85546875" style="54" customWidth="1"/>
    <col min="15626" max="15626" width="11.28515625" style="54" bestFit="1" customWidth="1"/>
    <col min="15627" max="15627" width="13.7109375" style="54" customWidth="1"/>
    <col min="15628" max="15628" width="13.28515625" style="54" bestFit="1" customWidth="1"/>
    <col min="15629" max="15629" width="12.140625" style="54" bestFit="1" customWidth="1"/>
    <col min="15630" max="15870" width="9.140625" style="54"/>
    <col min="15871" max="15871" width="6.42578125" style="54" bestFit="1" customWidth="1"/>
    <col min="15872" max="15872" width="12.28515625" style="54" customWidth="1"/>
    <col min="15873" max="15874" width="9.140625" style="54"/>
    <col min="15875" max="15875" width="5" style="54" bestFit="1" customWidth="1"/>
    <col min="15876" max="15876" width="9.140625" style="54"/>
    <col min="15877" max="15877" width="22" style="54" customWidth="1"/>
    <col min="15878" max="15878" width="12.85546875" style="54" bestFit="1" customWidth="1"/>
    <col min="15879" max="15881" width="12.85546875" style="54" customWidth="1"/>
    <col min="15882" max="15882" width="11.28515625" style="54" bestFit="1" customWidth="1"/>
    <col min="15883" max="15883" width="13.7109375" style="54" customWidth="1"/>
    <col min="15884" max="15884" width="13.28515625" style="54" bestFit="1" customWidth="1"/>
    <col min="15885" max="15885" width="12.140625" style="54" bestFit="1" customWidth="1"/>
    <col min="15886" max="16126" width="9.140625" style="54"/>
    <col min="16127" max="16127" width="6.42578125" style="54" bestFit="1" customWidth="1"/>
    <col min="16128" max="16128" width="12.28515625" style="54" customWidth="1"/>
    <col min="16129" max="16130" width="9.140625" style="54"/>
    <col min="16131" max="16131" width="5" style="54" bestFit="1" customWidth="1"/>
    <col min="16132" max="16132" width="9.140625" style="54"/>
    <col min="16133" max="16133" width="22" style="54" customWidth="1"/>
    <col min="16134" max="16134" width="12.85546875" style="54" bestFit="1" customWidth="1"/>
    <col min="16135" max="16137" width="12.85546875" style="54" customWidth="1"/>
    <col min="16138" max="16138" width="11.28515625" style="54" bestFit="1" customWidth="1"/>
    <col min="16139" max="16139" width="13.7109375" style="54" customWidth="1"/>
    <col min="16140" max="16140" width="13.28515625" style="54" bestFit="1" customWidth="1"/>
    <col min="16141" max="16141" width="12.140625" style="54" bestFit="1" customWidth="1"/>
    <col min="16142" max="16384" width="9.140625" style="54"/>
  </cols>
  <sheetData>
    <row r="1" spans="1:15" x14ac:dyDescent="0.2">
      <c r="C1" s="55" t="s">
        <v>42</v>
      </c>
      <c r="D1" s="56"/>
      <c r="E1" s="57">
        <v>1250</v>
      </c>
      <c r="F1" s="58" t="s">
        <v>43</v>
      </c>
      <c r="G1" s="58"/>
      <c r="H1" s="206" t="s">
        <v>151</v>
      </c>
      <c r="I1" s="206"/>
      <c r="J1" s="206"/>
      <c r="K1" s="206"/>
      <c r="L1" s="206"/>
      <c r="M1" s="59" t="s">
        <v>44</v>
      </c>
      <c r="N1" s="60">
        <v>1.02</v>
      </c>
    </row>
    <row r="2" spans="1:15" x14ac:dyDescent="0.2">
      <c r="C2" s="55" t="s">
        <v>45</v>
      </c>
      <c r="E2" s="57">
        <v>522</v>
      </c>
      <c r="F2" s="61" t="s">
        <v>46</v>
      </c>
      <c r="G2" s="61"/>
      <c r="H2" s="207"/>
      <c r="I2" s="207"/>
      <c r="J2" s="207"/>
      <c r="K2" s="207"/>
      <c r="L2" s="207"/>
      <c r="M2" s="59"/>
      <c r="N2" s="59"/>
    </row>
    <row r="3" spans="1:15" ht="26.45" x14ac:dyDescent="0.25">
      <c r="A3" s="62" t="s">
        <v>47</v>
      </c>
      <c r="B3" s="215" t="s">
        <v>48</v>
      </c>
      <c r="C3" s="216"/>
      <c r="D3" s="216"/>
      <c r="E3" s="216"/>
      <c r="F3" s="216"/>
      <c r="G3" s="216"/>
      <c r="H3" s="62" t="s">
        <v>145</v>
      </c>
      <c r="I3" s="62" t="s">
        <v>146</v>
      </c>
      <c r="J3" s="62" t="s">
        <v>147</v>
      </c>
      <c r="K3" s="62" t="s">
        <v>148</v>
      </c>
      <c r="L3" s="62" t="s">
        <v>149</v>
      </c>
      <c r="M3" s="62" t="s">
        <v>153</v>
      </c>
      <c r="N3" s="62" t="s">
        <v>150</v>
      </c>
    </row>
    <row r="4" spans="1:15" ht="12.75" customHeight="1" x14ac:dyDescent="0.25">
      <c r="A4" s="63">
        <v>120</v>
      </c>
      <c r="B4" s="210" t="s">
        <v>49</v>
      </c>
      <c r="C4" s="210"/>
      <c r="D4" s="210"/>
      <c r="E4" s="210"/>
      <c r="F4" s="210"/>
      <c r="G4" s="210"/>
      <c r="H4" s="64"/>
      <c r="I4" s="64"/>
      <c r="J4" s="64"/>
      <c r="K4" s="65"/>
      <c r="L4" s="64"/>
      <c r="M4" s="64"/>
      <c r="N4" s="64"/>
    </row>
    <row r="5" spans="1:15" ht="12.75" customHeight="1" x14ac:dyDescent="0.25">
      <c r="A5" s="66"/>
      <c r="B5" s="202" t="s">
        <v>244</v>
      </c>
      <c r="C5" s="202"/>
      <c r="D5" s="202"/>
      <c r="E5" s="202"/>
      <c r="F5" s="202"/>
      <c r="G5" s="202"/>
      <c r="H5" s="67">
        <v>85000</v>
      </c>
      <c r="I5" s="67">
        <v>117000</v>
      </c>
      <c r="J5" s="67">
        <v>119700</v>
      </c>
      <c r="K5" s="67">
        <f>SUM(J5*1.03)</f>
        <v>123291</v>
      </c>
      <c r="L5" s="67">
        <f t="shared" ref="L5:N5" si="0">SUM(K5*1.03)</f>
        <v>126989.73000000001</v>
      </c>
      <c r="M5" s="67">
        <f t="shared" si="0"/>
        <v>130799.42190000002</v>
      </c>
      <c r="N5" s="67">
        <f t="shared" si="0"/>
        <v>134723.40455700003</v>
      </c>
      <c r="O5" s="54" t="s">
        <v>278</v>
      </c>
    </row>
    <row r="6" spans="1:15" ht="27.75" customHeight="1" x14ac:dyDescent="0.25">
      <c r="A6" s="66" t="s">
        <v>50</v>
      </c>
      <c r="B6" s="202" t="s">
        <v>51</v>
      </c>
      <c r="C6" s="202" t="s">
        <v>52</v>
      </c>
      <c r="D6" s="202"/>
      <c r="E6" s="202"/>
      <c r="F6" s="202"/>
      <c r="G6" s="202"/>
      <c r="H6" s="67">
        <f>SUM('7-Day PP (40 Hour WW)'!Z15)</f>
        <v>1243526.7808000001</v>
      </c>
      <c r="I6" s="67">
        <f>SUM('7-Day PP (40 Hour WW)'!AB15)</f>
        <v>1516200.1168</v>
      </c>
      <c r="J6" s="67">
        <f>SUM('7-Day PP (40 Hour WW)'!AD15)</f>
        <v>1710419.3759999999</v>
      </c>
      <c r="K6" s="68">
        <f>SUM('7-Day PP (40 Hour WW)'!AF15)</f>
        <v>1874882.6560000002</v>
      </c>
      <c r="L6" s="69">
        <f>SUM('7-Day PP (40 Hour WW)'!AH15)</f>
        <v>2012924.5919999999</v>
      </c>
      <c r="M6" s="69">
        <f>SUM('7-Day PP (40 Hour WW)'!AJ15)</f>
        <v>2125340.3328</v>
      </c>
      <c r="N6" s="69">
        <f>SUM('7-Day PP (40 Hour WW)'!AL15)</f>
        <v>2219637.5328000002</v>
      </c>
    </row>
    <row r="7" spans="1:15" ht="12.75" customHeight="1" x14ac:dyDescent="0.25">
      <c r="A7" s="70"/>
      <c r="B7" s="204" t="s">
        <v>53</v>
      </c>
      <c r="C7" s="204"/>
      <c r="D7" s="204"/>
      <c r="E7" s="204"/>
      <c r="F7" s="204"/>
      <c r="G7" s="204"/>
      <c r="H7" s="71">
        <f>SUM(H5:H6)</f>
        <v>1328526.7808000001</v>
      </c>
      <c r="I7" s="71">
        <f>SUM(I5:I6)</f>
        <v>1633200.1168</v>
      </c>
      <c r="J7" s="71">
        <f t="shared" ref="J7:N7" si="1">SUM(J5:J6)</f>
        <v>1830119.3759999999</v>
      </c>
      <c r="K7" s="71">
        <f t="shared" si="1"/>
        <v>1998173.6560000002</v>
      </c>
      <c r="L7" s="71">
        <f t="shared" si="1"/>
        <v>2139914.3220000002</v>
      </c>
      <c r="M7" s="71">
        <f t="shared" si="1"/>
        <v>2256139.7546999999</v>
      </c>
      <c r="N7" s="71">
        <f t="shared" si="1"/>
        <v>2354360.9373570001</v>
      </c>
    </row>
    <row r="8" spans="1:15" ht="12.75" customHeight="1" x14ac:dyDescent="0.25">
      <c r="A8" s="63">
        <v>121</v>
      </c>
      <c r="B8" s="210" t="s">
        <v>54</v>
      </c>
      <c r="C8" s="210"/>
      <c r="D8" s="210"/>
      <c r="E8" s="210"/>
      <c r="F8" s="210"/>
      <c r="G8" s="210"/>
      <c r="H8" s="73"/>
      <c r="I8" s="73"/>
      <c r="J8" s="73"/>
      <c r="K8" s="68"/>
      <c r="L8" s="73"/>
      <c r="M8" s="73"/>
      <c r="N8" s="73"/>
      <c r="O8" s="54" t="s">
        <v>264</v>
      </c>
    </row>
    <row r="9" spans="1:15" ht="12.75" customHeight="1" x14ac:dyDescent="0.25">
      <c r="A9" s="66" t="s">
        <v>55</v>
      </c>
      <c r="B9" s="202" t="s">
        <v>36</v>
      </c>
      <c r="C9" s="202"/>
      <c r="D9" s="202"/>
      <c r="E9" s="202"/>
      <c r="F9" s="202"/>
      <c r="G9" s="202"/>
      <c r="H9" s="67"/>
      <c r="I9" s="67">
        <v>100000</v>
      </c>
      <c r="J9" s="75">
        <f>SUM(I9)*1.03</f>
        <v>103000</v>
      </c>
      <c r="K9" s="75">
        <f t="shared" ref="K9:N9" si="2">SUM(J9)*1.03</f>
        <v>106090</v>
      </c>
      <c r="L9" s="75">
        <f t="shared" si="2"/>
        <v>109272.7</v>
      </c>
      <c r="M9" s="75">
        <f t="shared" si="2"/>
        <v>112550.88099999999</v>
      </c>
      <c r="N9" s="75">
        <f t="shared" si="2"/>
        <v>115927.40742999999</v>
      </c>
    </row>
    <row r="10" spans="1:15" ht="12.75" customHeight="1" x14ac:dyDescent="0.25">
      <c r="A10" s="66" t="s">
        <v>50</v>
      </c>
      <c r="B10" s="202" t="s">
        <v>138</v>
      </c>
      <c r="C10" s="202"/>
      <c r="D10" s="202"/>
      <c r="E10" s="202"/>
      <c r="F10" s="202"/>
      <c r="G10" s="202"/>
      <c r="H10" s="67"/>
      <c r="I10" s="67">
        <v>75000</v>
      </c>
      <c r="J10" s="67">
        <f>SUM(I10)*1.03</f>
        <v>77250</v>
      </c>
      <c r="K10" s="67">
        <f t="shared" ref="K10:N10" si="3">SUM(J10)*1.03</f>
        <v>79567.5</v>
      </c>
      <c r="L10" s="67">
        <f t="shared" si="3"/>
        <v>81954.525000000009</v>
      </c>
      <c r="M10" s="67">
        <f t="shared" si="3"/>
        <v>84413.16075000001</v>
      </c>
      <c r="N10" s="67">
        <f t="shared" si="3"/>
        <v>86945.555572500016</v>
      </c>
    </row>
    <row r="11" spans="1:15" ht="13.15" x14ac:dyDescent="0.25">
      <c r="A11" s="66" t="s">
        <v>56</v>
      </c>
      <c r="B11" s="202" t="s">
        <v>140</v>
      </c>
      <c r="C11" s="202"/>
      <c r="D11" s="202"/>
      <c r="E11" s="202"/>
      <c r="F11" s="202"/>
      <c r="G11" s="202"/>
      <c r="H11" s="67">
        <v>371000</v>
      </c>
      <c r="I11" s="75">
        <v>371000</v>
      </c>
      <c r="J11" s="75">
        <v>371000</v>
      </c>
      <c r="K11" s="75">
        <v>371000</v>
      </c>
      <c r="L11" s="75">
        <v>371000</v>
      </c>
      <c r="M11" s="75">
        <v>371000</v>
      </c>
      <c r="N11" s="75">
        <v>371000</v>
      </c>
      <c r="O11" s="54" t="s">
        <v>276</v>
      </c>
    </row>
    <row r="12" spans="1:15" ht="12.75" customHeight="1" x14ac:dyDescent="0.25">
      <c r="A12" s="70"/>
      <c r="B12" s="204" t="s">
        <v>58</v>
      </c>
      <c r="C12" s="204"/>
      <c r="D12" s="204"/>
      <c r="E12" s="204"/>
      <c r="F12" s="204"/>
      <c r="G12" s="204"/>
      <c r="H12" s="71">
        <f>SUM(H9:H11)</f>
        <v>371000</v>
      </c>
      <c r="I12" s="71">
        <f>SUM(I9:I11)</f>
        <v>546000</v>
      </c>
      <c r="J12" s="71">
        <f t="shared" ref="J12:K12" si="4">SUM(J9:J11)</f>
        <v>551250</v>
      </c>
      <c r="K12" s="71">
        <f t="shared" si="4"/>
        <v>556657.5</v>
      </c>
      <c r="L12" s="71">
        <f>SUM(L9:L11)</f>
        <v>562227.22499999998</v>
      </c>
      <c r="M12" s="71">
        <f>SUM(M9:M11)</f>
        <v>567964.04174999997</v>
      </c>
      <c r="N12" s="71">
        <f>SUM(N9:N11)</f>
        <v>573872.96300250001</v>
      </c>
    </row>
    <row r="13" spans="1:15" ht="14.25" customHeight="1" x14ac:dyDescent="0.25">
      <c r="A13" s="77">
        <v>140</v>
      </c>
      <c r="B13" s="210" t="s">
        <v>59</v>
      </c>
      <c r="C13" s="210"/>
      <c r="D13" s="210"/>
      <c r="E13" s="210"/>
      <c r="F13" s="210"/>
      <c r="G13" s="210"/>
      <c r="H13" s="73">
        <v>200000</v>
      </c>
      <c r="I13" s="73">
        <f>H13*116%</f>
        <v>231999.99999999997</v>
      </c>
      <c r="J13" s="73">
        <f>I13*115%</f>
        <v>266799.99999999994</v>
      </c>
      <c r="K13" s="78">
        <f>J13*109%</f>
        <v>290811.99999999994</v>
      </c>
      <c r="L13" s="69">
        <f>K13*105%</f>
        <v>305352.59999999998</v>
      </c>
      <c r="M13" s="69">
        <f>L13*105%</f>
        <v>320620.23</v>
      </c>
      <c r="N13" s="69">
        <f>M13*105%</f>
        <v>336651.2415</v>
      </c>
      <c r="O13" s="54" t="s">
        <v>261</v>
      </c>
    </row>
    <row r="14" spans="1:15" ht="14.25" customHeight="1" x14ac:dyDescent="0.25">
      <c r="A14" s="79">
        <v>210</v>
      </c>
      <c r="B14" s="208" t="s">
        <v>60</v>
      </c>
      <c r="C14" s="208"/>
      <c r="D14" s="208"/>
      <c r="E14" s="208"/>
      <c r="F14" s="208"/>
      <c r="G14" s="208"/>
      <c r="H14" s="80">
        <f t="shared" ref="H14:N14" si="5">(H13+H12+H7)*0.0765</f>
        <v>145313.79873119999</v>
      </c>
      <c r="I14" s="80">
        <f t="shared" si="5"/>
        <v>184456.80893519998</v>
      </c>
      <c r="J14" s="80">
        <f t="shared" si="5"/>
        <v>202584.957264</v>
      </c>
      <c r="K14" s="80">
        <f t="shared" si="5"/>
        <v>217691.70143400002</v>
      </c>
      <c r="L14" s="80">
        <f t="shared" si="5"/>
        <v>230073.30224549997</v>
      </c>
      <c r="M14" s="80">
        <f t="shared" si="5"/>
        <v>240571.38802342498</v>
      </c>
      <c r="N14" s="80">
        <f t="shared" si="5"/>
        <v>249763.71335225177</v>
      </c>
    </row>
    <row r="15" spans="1:15" ht="14.25" customHeight="1" x14ac:dyDescent="0.25">
      <c r="A15" s="77">
        <v>220</v>
      </c>
      <c r="B15" s="210" t="s">
        <v>247</v>
      </c>
      <c r="C15" s="210"/>
      <c r="D15" s="210"/>
      <c r="E15" s="210"/>
      <c r="F15" s="210"/>
      <c r="G15" s="210"/>
      <c r="H15" s="73"/>
      <c r="I15" s="80"/>
      <c r="J15" s="80"/>
      <c r="K15" s="80"/>
      <c r="L15" s="80"/>
      <c r="M15" s="80"/>
      <c r="N15" s="80"/>
      <c r="O15" s="54" t="s">
        <v>290</v>
      </c>
    </row>
    <row r="16" spans="1:15" ht="13.5" customHeight="1" x14ac:dyDescent="0.25">
      <c r="A16" s="77">
        <v>230</v>
      </c>
      <c r="B16" s="210" t="s">
        <v>61</v>
      </c>
      <c r="C16" s="210"/>
      <c r="D16" s="210"/>
      <c r="E16" s="210"/>
      <c r="F16" s="210"/>
      <c r="G16" s="210"/>
      <c r="H16" s="81"/>
      <c r="I16" s="81"/>
      <c r="J16" s="81"/>
      <c r="K16" s="81"/>
      <c r="L16" s="81"/>
      <c r="M16" s="81"/>
      <c r="N16" s="81"/>
    </row>
    <row r="17" spans="1:15" ht="13.5" customHeight="1" x14ac:dyDescent="0.25">
      <c r="A17" s="63"/>
      <c r="B17" s="202" t="s">
        <v>62</v>
      </c>
      <c r="C17" s="202"/>
      <c r="D17" s="202"/>
      <c r="E17" s="202"/>
      <c r="F17" s="202"/>
      <c r="G17" s="202"/>
      <c r="H17" s="67">
        <v>138000</v>
      </c>
      <c r="I17" s="75">
        <v>193200</v>
      </c>
      <c r="J17" s="75">
        <v>223200</v>
      </c>
      <c r="K17" s="75">
        <v>237600</v>
      </c>
      <c r="L17" s="75">
        <v>244800</v>
      </c>
      <c r="M17" s="75">
        <v>255000</v>
      </c>
      <c r="N17" s="75">
        <v>255000</v>
      </c>
      <c r="O17" s="54" t="s">
        <v>262</v>
      </c>
    </row>
    <row r="18" spans="1:15" ht="13.5" customHeight="1" x14ac:dyDescent="0.25">
      <c r="A18" s="63"/>
      <c r="B18" s="202" t="s">
        <v>258</v>
      </c>
      <c r="C18" s="202"/>
      <c r="D18" s="202"/>
      <c r="E18" s="202"/>
      <c r="F18" s="202"/>
      <c r="G18" s="202"/>
      <c r="H18" s="67">
        <v>5000</v>
      </c>
      <c r="I18" s="67">
        <f>H18/13*15</f>
        <v>5769.2307692307695</v>
      </c>
      <c r="J18" s="67">
        <f>I18/15*17</f>
        <v>6538.461538461539</v>
      </c>
      <c r="K18" s="67">
        <f>J18/17*18</f>
        <v>6923.0769230769238</v>
      </c>
      <c r="L18" s="67">
        <f>K18*N1</f>
        <v>7061.5384615384628</v>
      </c>
      <c r="M18" s="67">
        <f>L18*N1</f>
        <v>7202.7692307692323</v>
      </c>
      <c r="N18" s="67">
        <f>M18*N1</f>
        <v>7346.8246153846167</v>
      </c>
      <c r="O18" s="54" t="s">
        <v>260</v>
      </c>
    </row>
    <row r="19" spans="1:15" ht="12.75" customHeight="1" x14ac:dyDescent="0.25">
      <c r="A19" s="70"/>
      <c r="B19" s="204" t="s">
        <v>64</v>
      </c>
      <c r="C19" s="204"/>
      <c r="D19" s="204"/>
      <c r="E19" s="204"/>
      <c r="F19" s="204"/>
      <c r="G19" s="204"/>
      <c r="H19" s="71">
        <f t="shared" ref="H19:N19" si="6">SUM(H16:H18)</f>
        <v>143000</v>
      </c>
      <c r="I19" s="71">
        <f t="shared" si="6"/>
        <v>198969.23076923078</v>
      </c>
      <c r="J19" s="71">
        <f t="shared" si="6"/>
        <v>229738.46153846153</v>
      </c>
      <c r="K19" s="82">
        <f t="shared" si="6"/>
        <v>244523.07692307694</v>
      </c>
      <c r="L19" s="82">
        <f t="shared" si="6"/>
        <v>251861.53846153847</v>
      </c>
      <c r="M19" s="82">
        <f t="shared" si="6"/>
        <v>262202.76923076925</v>
      </c>
      <c r="N19" s="82">
        <f t="shared" si="6"/>
        <v>262346.82461538463</v>
      </c>
    </row>
    <row r="20" spans="1:15" ht="14.25" customHeight="1" x14ac:dyDescent="0.25">
      <c r="A20" s="79">
        <v>240</v>
      </c>
      <c r="B20" s="208" t="s">
        <v>65</v>
      </c>
      <c r="C20" s="208"/>
      <c r="D20" s="208"/>
      <c r="E20" s="208"/>
      <c r="F20" s="208"/>
      <c r="G20" s="208"/>
      <c r="H20" s="83">
        <v>68776</v>
      </c>
      <c r="I20" s="83">
        <f t="shared" ref="I20:N20" si="7">((I13+I12+I7)/100)*3.73</f>
        <v>89937.764356639993</v>
      </c>
      <c r="J20" s="83">
        <f t="shared" si="7"/>
        <v>98776.717724800008</v>
      </c>
      <c r="K20" s="83">
        <f t="shared" si="7"/>
        <v>106142.48971880002</v>
      </c>
      <c r="L20" s="83">
        <f t="shared" si="7"/>
        <v>112179.53168309999</v>
      </c>
      <c r="M20" s="83">
        <f t="shared" si="7"/>
        <v>117298.20618658498</v>
      </c>
      <c r="N20" s="83">
        <f t="shared" si="7"/>
        <v>121780.21579135935</v>
      </c>
      <c r="O20" s="54" t="s">
        <v>265</v>
      </c>
    </row>
    <row r="21" spans="1:15" ht="15.75" customHeight="1" x14ac:dyDescent="0.25">
      <c r="A21" s="84">
        <v>250</v>
      </c>
      <c r="B21" s="214" t="s">
        <v>66</v>
      </c>
      <c r="C21" s="214"/>
      <c r="D21" s="214"/>
      <c r="E21" s="214"/>
      <c r="F21" s="214"/>
      <c r="G21" s="214"/>
      <c r="H21" s="83">
        <v>3135</v>
      </c>
      <c r="I21" s="83">
        <f>(7000*15)*2.7%</f>
        <v>2835.0000000000005</v>
      </c>
      <c r="J21" s="83">
        <f>(7000*17)*2.7%</f>
        <v>3213.0000000000005</v>
      </c>
      <c r="K21" s="83">
        <f>(7000*18)*2.7%</f>
        <v>3402.0000000000005</v>
      </c>
      <c r="L21" s="83">
        <f>(7000*18)*2.7%</f>
        <v>3402.0000000000005</v>
      </c>
      <c r="M21" s="83">
        <f>(7000*18)*2.7%</f>
        <v>3402.0000000000005</v>
      </c>
      <c r="N21" s="83">
        <f>(7000*18)*2.7%</f>
        <v>3402.0000000000005</v>
      </c>
      <c r="O21" s="54" t="s">
        <v>266</v>
      </c>
    </row>
    <row r="22" spans="1:15" ht="12.75" customHeight="1" x14ac:dyDescent="0.25">
      <c r="A22" s="63">
        <v>312</v>
      </c>
      <c r="B22" s="213" t="s">
        <v>67</v>
      </c>
      <c r="C22" s="213"/>
      <c r="D22" s="213"/>
      <c r="E22" s="213"/>
      <c r="F22" s="213"/>
      <c r="G22" s="213"/>
      <c r="H22" s="85"/>
      <c r="I22" s="85"/>
      <c r="J22" s="85"/>
      <c r="K22" s="86"/>
      <c r="L22" s="85"/>
      <c r="M22" s="85"/>
      <c r="N22" s="85"/>
      <c r="O22" s="54" t="s">
        <v>267</v>
      </c>
    </row>
    <row r="23" spans="1:15" ht="12.75" customHeight="1" x14ac:dyDescent="0.25">
      <c r="A23" s="87"/>
      <c r="B23" s="202" t="s">
        <v>68</v>
      </c>
      <c r="C23" s="202"/>
      <c r="D23" s="202"/>
      <c r="E23" s="202"/>
      <c r="F23" s="202"/>
      <c r="G23" s="202"/>
      <c r="H23" s="67">
        <v>5000</v>
      </c>
      <c r="I23" s="67">
        <f t="shared" ref="I23:N25" si="8">H23*$N$1</f>
        <v>5100</v>
      </c>
      <c r="J23" s="67">
        <f t="shared" si="8"/>
        <v>5202</v>
      </c>
      <c r="K23" s="67">
        <f t="shared" si="8"/>
        <v>5306.04</v>
      </c>
      <c r="L23" s="67">
        <f t="shared" si="8"/>
        <v>5412.1607999999997</v>
      </c>
      <c r="M23" s="67">
        <f t="shared" si="8"/>
        <v>5520.4040159999995</v>
      </c>
      <c r="N23" s="67">
        <f t="shared" si="8"/>
        <v>5630.8120963199999</v>
      </c>
    </row>
    <row r="24" spans="1:15" ht="12.75" customHeight="1" x14ac:dyDescent="0.25">
      <c r="A24" s="87"/>
      <c r="B24" s="202" t="s">
        <v>259</v>
      </c>
      <c r="C24" s="202"/>
      <c r="D24" s="202"/>
      <c r="E24" s="202"/>
      <c r="F24" s="202"/>
      <c r="G24" s="202"/>
      <c r="H24" s="67">
        <v>40720</v>
      </c>
      <c r="I24" s="67">
        <f t="shared" si="8"/>
        <v>41534.400000000001</v>
      </c>
      <c r="J24" s="67">
        <f t="shared" si="8"/>
        <v>42365.088000000003</v>
      </c>
      <c r="K24" s="67">
        <f t="shared" si="8"/>
        <v>43212.389760000005</v>
      </c>
      <c r="L24" s="67">
        <f t="shared" si="8"/>
        <v>44076.63755520001</v>
      </c>
      <c r="M24" s="67">
        <f t="shared" si="8"/>
        <v>44958.170306304011</v>
      </c>
      <c r="N24" s="67">
        <f t="shared" si="8"/>
        <v>45857.333712430089</v>
      </c>
    </row>
    <row r="25" spans="1:15" ht="12.75" customHeight="1" x14ac:dyDescent="0.25">
      <c r="A25" s="88"/>
      <c r="B25" s="202" t="s">
        <v>70</v>
      </c>
      <c r="C25" s="202"/>
      <c r="D25" s="202"/>
      <c r="E25" s="202"/>
      <c r="F25" s="202"/>
      <c r="G25" s="202"/>
      <c r="H25" s="67">
        <v>2295</v>
      </c>
      <c r="I25" s="67">
        <f t="shared" si="8"/>
        <v>2340.9</v>
      </c>
      <c r="J25" s="67">
        <f t="shared" si="8"/>
        <v>2387.7180000000003</v>
      </c>
      <c r="K25" s="67">
        <f t="shared" si="8"/>
        <v>2435.4723600000002</v>
      </c>
      <c r="L25" s="67">
        <f t="shared" si="8"/>
        <v>2484.1818072000001</v>
      </c>
      <c r="M25" s="67">
        <f t="shared" si="8"/>
        <v>2533.8654433440001</v>
      </c>
      <c r="N25" s="67">
        <f t="shared" si="8"/>
        <v>2584.5427522108803</v>
      </c>
    </row>
    <row r="26" spans="1:15" ht="12.75" customHeight="1" x14ac:dyDescent="0.25">
      <c r="A26" s="70"/>
      <c r="B26" s="204" t="s">
        <v>71</v>
      </c>
      <c r="C26" s="204"/>
      <c r="D26" s="204"/>
      <c r="E26" s="204"/>
      <c r="F26" s="204"/>
      <c r="G26" s="204"/>
      <c r="H26" s="71">
        <f t="shared" ref="H26:N26" si="9">SUM(H23:H25)</f>
        <v>48015</v>
      </c>
      <c r="I26" s="71">
        <f t="shared" si="9"/>
        <v>48975.3</v>
      </c>
      <c r="J26" s="71">
        <f t="shared" si="9"/>
        <v>49954.806000000004</v>
      </c>
      <c r="K26" s="71">
        <f t="shared" si="9"/>
        <v>50953.902120000006</v>
      </c>
      <c r="L26" s="71">
        <f t="shared" si="9"/>
        <v>51972.98016240001</v>
      </c>
      <c r="M26" s="71">
        <f t="shared" si="9"/>
        <v>53012.439765648014</v>
      </c>
      <c r="N26" s="71">
        <f t="shared" si="9"/>
        <v>54072.688560960967</v>
      </c>
    </row>
    <row r="27" spans="1:15" ht="14.25" customHeight="1" x14ac:dyDescent="0.25">
      <c r="A27" s="79">
        <v>314</v>
      </c>
      <c r="B27" s="208" t="s">
        <v>72</v>
      </c>
      <c r="C27" s="208"/>
      <c r="D27" s="208"/>
      <c r="E27" s="208"/>
      <c r="F27" s="208"/>
      <c r="G27" s="208"/>
      <c r="H27" s="89">
        <v>15000</v>
      </c>
      <c r="I27" s="89">
        <v>15000</v>
      </c>
      <c r="J27" s="89">
        <v>15000</v>
      </c>
      <c r="K27" s="89">
        <v>15000</v>
      </c>
      <c r="L27" s="89">
        <v>15000</v>
      </c>
      <c r="M27" s="89">
        <v>15000</v>
      </c>
      <c r="N27" s="89">
        <v>15000</v>
      </c>
      <c r="O27" s="54" t="s">
        <v>263</v>
      </c>
    </row>
    <row r="28" spans="1:15" ht="14.25" customHeight="1" x14ac:dyDescent="0.25">
      <c r="A28" s="79">
        <v>320</v>
      </c>
      <c r="B28" s="208" t="s">
        <v>73</v>
      </c>
      <c r="C28" s="208"/>
      <c r="D28" s="208"/>
      <c r="E28" s="208"/>
      <c r="F28" s="208"/>
      <c r="G28" s="208"/>
      <c r="H28" s="80">
        <v>23422</v>
      </c>
      <c r="I28" s="80">
        <f t="shared" ref="I28:N32" si="10">H28*$N$1</f>
        <v>23890.44</v>
      </c>
      <c r="J28" s="80">
        <f t="shared" si="10"/>
        <v>24368.248799999998</v>
      </c>
      <c r="K28" s="80">
        <f t="shared" si="10"/>
        <v>24855.613775999998</v>
      </c>
      <c r="L28" s="80">
        <f t="shared" si="10"/>
        <v>25352.72605152</v>
      </c>
      <c r="M28" s="80">
        <f t="shared" si="10"/>
        <v>25859.7805725504</v>
      </c>
      <c r="N28" s="80">
        <f t="shared" si="10"/>
        <v>26376.976184001407</v>
      </c>
      <c r="O28" s="54" t="s">
        <v>268</v>
      </c>
    </row>
    <row r="29" spans="1:15" ht="13.15" x14ac:dyDescent="0.25">
      <c r="A29" s="79">
        <v>400</v>
      </c>
      <c r="B29" s="208" t="s">
        <v>74</v>
      </c>
      <c r="C29" s="208"/>
      <c r="D29" s="208"/>
      <c r="E29" s="208"/>
      <c r="F29" s="208"/>
      <c r="G29" s="208"/>
      <c r="H29" s="80">
        <v>8590</v>
      </c>
      <c r="I29" s="80">
        <f t="shared" si="10"/>
        <v>8761.7999999999993</v>
      </c>
      <c r="J29" s="80">
        <f t="shared" si="10"/>
        <v>8937.0360000000001</v>
      </c>
      <c r="K29" s="80">
        <f t="shared" si="10"/>
        <v>9115.7767199999998</v>
      </c>
      <c r="L29" s="80">
        <f t="shared" si="10"/>
        <v>9298.0922544000005</v>
      </c>
      <c r="M29" s="80">
        <f t="shared" si="10"/>
        <v>9484.0540994880012</v>
      </c>
      <c r="N29" s="80">
        <f t="shared" si="10"/>
        <v>9673.7351814777612</v>
      </c>
      <c r="O29" s="54" t="s">
        <v>269</v>
      </c>
    </row>
    <row r="30" spans="1:15" ht="13.15" x14ac:dyDescent="0.25">
      <c r="A30" s="79">
        <v>410</v>
      </c>
      <c r="B30" s="209" t="s">
        <v>157</v>
      </c>
      <c r="C30" s="209"/>
      <c r="D30" s="209"/>
      <c r="E30" s="209"/>
      <c r="F30" s="209"/>
      <c r="G30" s="209"/>
      <c r="H30" s="90">
        <v>21500</v>
      </c>
      <c r="I30" s="80">
        <f t="shared" si="10"/>
        <v>21930</v>
      </c>
      <c r="J30" s="80">
        <f t="shared" si="10"/>
        <v>22368.600000000002</v>
      </c>
      <c r="K30" s="80">
        <f t="shared" si="10"/>
        <v>22815.972000000002</v>
      </c>
      <c r="L30" s="80">
        <f t="shared" si="10"/>
        <v>23272.291440000001</v>
      </c>
      <c r="M30" s="80">
        <f t="shared" si="10"/>
        <v>23737.7372688</v>
      </c>
      <c r="N30" s="80">
        <f t="shared" si="10"/>
        <v>24212.492014176001</v>
      </c>
      <c r="O30" s="54" t="s">
        <v>270</v>
      </c>
    </row>
    <row r="31" spans="1:15" ht="13.5" customHeight="1" x14ac:dyDescent="0.25">
      <c r="A31" s="79">
        <v>411</v>
      </c>
      <c r="B31" s="208" t="s">
        <v>75</v>
      </c>
      <c r="C31" s="208"/>
      <c r="D31" s="208"/>
      <c r="E31" s="208"/>
      <c r="F31" s="208"/>
      <c r="G31" s="208"/>
      <c r="H31" s="80">
        <v>900</v>
      </c>
      <c r="I31" s="80">
        <f t="shared" si="10"/>
        <v>918</v>
      </c>
      <c r="J31" s="80">
        <f t="shared" si="10"/>
        <v>936.36</v>
      </c>
      <c r="K31" s="80">
        <f t="shared" si="10"/>
        <v>955.08720000000005</v>
      </c>
      <c r="L31" s="80">
        <f t="shared" si="10"/>
        <v>974.18894400000011</v>
      </c>
      <c r="M31" s="80">
        <f t="shared" si="10"/>
        <v>993.67272288000015</v>
      </c>
      <c r="N31" s="80">
        <f t="shared" si="10"/>
        <v>1013.5461773376002</v>
      </c>
      <c r="O31" s="54" t="s">
        <v>271</v>
      </c>
    </row>
    <row r="32" spans="1:15" ht="14.25" customHeight="1" x14ac:dyDescent="0.25">
      <c r="A32" s="79">
        <v>412</v>
      </c>
      <c r="B32" s="208" t="s">
        <v>76</v>
      </c>
      <c r="C32" s="208"/>
      <c r="D32" s="208"/>
      <c r="E32" s="208"/>
      <c r="F32" s="208"/>
      <c r="G32" s="208"/>
      <c r="H32" s="80">
        <v>900</v>
      </c>
      <c r="I32" s="80">
        <f t="shared" si="10"/>
        <v>918</v>
      </c>
      <c r="J32" s="80">
        <f t="shared" si="10"/>
        <v>936.36</v>
      </c>
      <c r="K32" s="80">
        <f t="shared" si="10"/>
        <v>955.08720000000005</v>
      </c>
      <c r="L32" s="80">
        <f t="shared" si="10"/>
        <v>974.18894400000011</v>
      </c>
      <c r="M32" s="80">
        <f t="shared" si="10"/>
        <v>993.67272288000015</v>
      </c>
      <c r="N32" s="80">
        <f t="shared" si="10"/>
        <v>1013.5461773376002</v>
      </c>
      <c r="O32" s="54" t="s">
        <v>272</v>
      </c>
    </row>
    <row r="33" spans="1:15" ht="13.15" x14ac:dyDescent="0.25">
      <c r="A33" s="77">
        <v>430</v>
      </c>
      <c r="B33" s="210" t="s">
        <v>77</v>
      </c>
      <c r="C33" s="210"/>
      <c r="D33" s="210"/>
      <c r="E33" s="210"/>
      <c r="F33" s="210"/>
      <c r="G33" s="210"/>
      <c r="H33" s="73"/>
      <c r="I33" s="73"/>
      <c r="J33" s="73"/>
      <c r="K33" s="73"/>
      <c r="L33" s="73"/>
      <c r="M33" s="73"/>
      <c r="N33" s="73"/>
      <c r="O33" s="54" t="s">
        <v>273</v>
      </c>
    </row>
    <row r="34" spans="1:15" ht="12.75" customHeight="1" x14ac:dyDescent="0.25">
      <c r="A34" s="66" t="s">
        <v>55</v>
      </c>
      <c r="B34" s="202" t="s">
        <v>78</v>
      </c>
      <c r="C34" s="202"/>
      <c r="D34" s="202"/>
      <c r="E34" s="202"/>
      <c r="F34" s="202"/>
      <c r="G34" s="202"/>
      <c r="H34" s="67">
        <v>38000</v>
      </c>
      <c r="I34" s="67">
        <f t="shared" ref="I34:N38" si="11">H34*$N$1</f>
        <v>38760</v>
      </c>
      <c r="J34" s="67">
        <f t="shared" si="11"/>
        <v>39535.199999999997</v>
      </c>
      <c r="K34" s="67">
        <f t="shared" si="11"/>
        <v>40325.903999999995</v>
      </c>
      <c r="L34" s="67">
        <f t="shared" si="11"/>
        <v>41132.422079999997</v>
      </c>
      <c r="M34" s="67">
        <f t="shared" si="11"/>
        <v>41955.070521599999</v>
      </c>
      <c r="N34" s="67">
        <f t="shared" si="11"/>
        <v>42794.171932031997</v>
      </c>
    </row>
    <row r="35" spans="1:15" ht="12.75" customHeight="1" x14ac:dyDescent="0.25">
      <c r="A35" s="66" t="s">
        <v>50</v>
      </c>
      <c r="B35" s="202" t="s">
        <v>79</v>
      </c>
      <c r="C35" s="202"/>
      <c r="D35" s="202"/>
      <c r="E35" s="202"/>
      <c r="F35" s="202"/>
      <c r="G35" s="202"/>
      <c r="H35" s="67">
        <v>13400</v>
      </c>
      <c r="I35" s="67">
        <f t="shared" si="11"/>
        <v>13668</v>
      </c>
      <c r="J35" s="67">
        <f t="shared" si="11"/>
        <v>13941.36</v>
      </c>
      <c r="K35" s="67">
        <f t="shared" si="11"/>
        <v>14220.1872</v>
      </c>
      <c r="L35" s="67">
        <f t="shared" si="11"/>
        <v>14504.590944000001</v>
      </c>
      <c r="M35" s="67">
        <f t="shared" si="11"/>
        <v>14794.682762880002</v>
      </c>
      <c r="N35" s="67">
        <f t="shared" si="11"/>
        <v>15090.576418137602</v>
      </c>
    </row>
    <row r="36" spans="1:15" ht="12.75" customHeight="1" x14ac:dyDescent="0.25">
      <c r="A36" s="66" t="s">
        <v>56</v>
      </c>
      <c r="B36" s="202" t="s">
        <v>80</v>
      </c>
      <c r="C36" s="202"/>
      <c r="D36" s="202"/>
      <c r="E36" s="202"/>
      <c r="F36" s="202"/>
      <c r="G36" s="202"/>
      <c r="H36" s="67">
        <v>14025</v>
      </c>
      <c r="I36" s="67">
        <f t="shared" si="11"/>
        <v>14305.5</v>
      </c>
      <c r="J36" s="67">
        <f t="shared" si="11"/>
        <v>14591.61</v>
      </c>
      <c r="K36" s="67">
        <f t="shared" si="11"/>
        <v>14883.442200000001</v>
      </c>
      <c r="L36" s="67">
        <f t="shared" si="11"/>
        <v>15181.111044000001</v>
      </c>
      <c r="M36" s="67">
        <f t="shared" si="11"/>
        <v>15484.733264880002</v>
      </c>
      <c r="N36" s="67">
        <f t="shared" si="11"/>
        <v>15794.427930177602</v>
      </c>
    </row>
    <row r="37" spans="1:15" ht="12.75" customHeight="1" x14ac:dyDescent="0.25">
      <c r="A37" s="66" t="s">
        <v>81</v>
      </c>
      <c r="B37" s="202" t="s">
        <v>82</v>
      </c>
      <c r="C37" s="202"/>
      <c r="D37" s="202"/>
      <c r="E37" s="202"/>
      <c r="F37" s="202"/>
      <c r="G37" s="202"/>
      <c r="H37" s="67">
        <v>1000</v>
      </c>
      <c r="I37" s="67">
        <f t="shared" si="11"/>
        <v>1020</v>
      </c>
      <c r="J37" s="67">
        <f t="shared" si="11"/>
        <v>1040.4000000000001</v>
      </c>
      <c r="K37" s="67">
        <f t="shared" si="11"/>
        <v>1061.2080000000001</v>
      </c>
      <c r="L37" s="67">
        <f t="shared" si="11"/>
        <v>1082.4321600000001</v>
      </c>
      <c r="M37" s="67">
        <f t="shared" si="11"/>
        <v>1104.0808032</v>
      </c>
      <c r="N37" s="67">
        <f t="shared" si="11"/>
        <v>1126.1624192639999</v>
      </c>
    </row>
    <row r="38" spans="1:15" ht="12.75" customHeight="1" x14ac:dyDescent="0.25">
      <c r="A38" s="66" t="s">
        <v>83</v>
      </c>
      <c r="B38" s="202" t="s">
        <v>84</v>
      </c>
      <c r="C38" s="202"/>
      <c r="D38" s="202"/>
      <c r="E38" s="202"/>
      <c r="F38" s="202"/>
      <c r="G38" s="202"/>
      <c r="H38" s="91">
        <v>4700</v>
      </c>
      <c r="I38" s="67">
        <f t="shared" si="11"/>
        <v>4794</v>
      </c>
      <c r="J38" s="67">
        <f t="shared" si="11"/>
        <v>4889.88</v>
      </c>
      <c r="K38" s="67">
        <f t="shared" si="11"/>
        <v>4987.6776</v>
      </c>
      <c r="L38" s="67">
        <f t="shared" si="11"/>
        <v>5087.4311520000001</v>
      </c>
      <c r="M38" s="67">
        <f t="shared" si="11"/>
        <v>5189.1797750400001</v>
      </c>
      <c r="N38" s="67">
        <f t="shared" si="11"/>
        <v>5292.9633705408005</v>
      </c>
    </row>
    <row r="39" spans="1:15" ht="12.75" customHeight="1" x14ac:dyDescent="0.25">
      <c r="A39" s="70"/>
      <c r="B39" s="204" t="s">
        <v>85</v>
      </c>
      <c r="C39" s="204"/>
      <c r="D39" s="204"/>
      <c r="E39" s="204"/>
      <c r="F39" s="204"/>
      <c r="G39" s="204"/>
      <c r="H39" s="71">
        <f t="shared" ref="H39:N39" si="12">SUM(H34:H38)</f>
        <v>71125</v>
      </c>
      <c r="I39" s="71">
        <f t="shared" si="12"/>
        <v>72547.5</v>
      </c>
      <c r="J39" s="71">
        <f t="shared" si="12"/>
        <v>73998.45</v>
      </c>
      <c r="K39" s="71">
        <f t="shared" si="12"/>
        <v>75478.418999999994</v>
      </c>
      <c r="L39" s="71">
        <f t="shared" si="12"/>
        <v>76987.987380000006</v>
      </c>
      <c r="M39" s="71">
        <f t="shared" si="12"/>
        <v>78527.747127600014</v>
      </c>
      <c r="N39" s="71">
        <f t="shared" si="12"/>
        <v>80098.302070152</v>
      </c>
    </row>
    <row r="40" spans="1:15" ht="12.75" customHeight="1" x14ac:dyDescent="0.25">
      <c r="A40" s="77">
        <v>440</v>
      </c>
      <c r="B40" s="210" t="s">
        <v>86</v>
      </c>
      <c r="C40" s="210"/>
      <c r="D40" s="210"/>
      <c r="E40" s="210"/>
      <c r="F40" s="210"/>
      <c r="G40" s="210"/>
      <c r="H40" s="67"/>
      <c r="I40" s="67"/>
      <c r="J40" s="67"/>
      <c r="K40" s="67"/>
      <c r="L40" s="67"/>
      <c r="M40" s="67"/>
      <c r="N40" s="67"/>
      <c r="O40" s="54" t="s">
        <v>274</v>
      </c>
    </row>
    <row r="41" spans="1:15" ht="12.75" customHeight="1" x14ac:dyDescent="0.25">
      <c r="A41" s="63"/>
      <c r="B41" s="202" t="s">
        <v>87</v>
      </c>
      <c r="C41" s="202"/>
      <c r="D41" s="202"/>
      <c r="E41" s="202"/>
      <c r="F41" s="202"/>
      <c r="G41" s="202"/>
      <c r="H41" s="67">
        <v>4500</v>
      </c>
      <c r="I41" s="67">
        <f t="shared" ref="I41:N45" si="13">H41*$N$1</f>
        <v>4590</v>
      </c>
      <c r="J41" s="67">
        <f t="shared" si="13"/>
        <v>4681.8</v>
      </c>
      <c r="K41" s="67">
        <f t="shared" si="13"/>
        <v>4775.4360000000006</v>
      </c>
      <c r="L41" s="67">
        <f t="shared" si="13"/>
        <v>4870.9447200000004</v>
      </c>
      <c r="M41" s="67">
        <f t="shared" si="13"/>
        <v>4968.3636144000002</v>
      </c>
      <c r="N41" s="67">
        <f t="shared" si="13"/>
        <v>5067.7308866880003</v>
      </c>
    </row>
    <row r="42" spans="1:15" ht="13.5" customHeight="1" x14ac:dyDescent="0.25">
      <c r="A42" s="63"/>
      <c r="B42" s="202" t="s">
        <v>88</v>
      </c>
      <c r="C42" s="202"/>
      <c r="D42" s="202"/>
      <c r="E42" s="202"/>
      <c r="F42" s="202"/>
      <c r="G42" s="202"/>
      <c r="H42" s="67">
        <v>6000</v>
      </c>
      <c r="I42" s="67">
        <f t="shared" si="13"/>
        <v>6120</v>
      </c>
      <c r="J42" s="67">
        <f t="shared" si="13"/>
        <v>6242.4000000000005</v>
      </c>
      <c r="K42" s="67">
        <f t="shared" si="13"/>
        <v>6367.2480000000005</v>
      </c>
      <c r="L42" s="67">
        <f t="shared" si="13"/>
        <v>6494.5929600000009</v>
      </c>
      <c r="M42" s="67">
        <f t="shared" si="13"/>
        <v>6624.4848192000009</v>
      </c>
      <c r="N42" s="67">
        <f t="shared" si="13"/>
        <v>6756.974515584001</v>
      </c>
    </row>
    <row r="43" spans="1:15" ht="13.5" customHeight="1" x14ac:dyDescent="0.25">
      <c r="A43" s="63"/>
      <c r="B43" s="202" t="s">
        <v>89</v>
      </c>
      <c r="C43" s="202"/>
      <c r="D43" s="202"/>
      <c r="E43" s="202"/>
      <c r="F43" s="202"/>
      <c r="G43" s="202"/>
      <c r="H43" s="67">
        <v>300</v>
      </c>
      <c r="I43" s="67">
        <f t="shared" si="13"/>
        <v>306</v>
      </c>
      <c r="J43" s="67">
        <f t="shared" si="13"/>
        <v>312.12</v>
      </c>
      <c r="K43" s="67">
        <f t="shared" si="13"/>
        <v>318.36240000000004</v>
      </c>
      <c r="L43" s="67">
        <f t="shared" si="13"/>
        <v>324.72964800000005</v>
      </c>
      <c r="M43" s="67">
        <f t="shared" si="13"/>
        <v>331.22424096000009</v>
      </c>
      <c r="N43" s="67">
        <f t="shared" si="13"/>
        <v>337.84872577920009</v>
      </c>
    </row>
    <row r="44" spans="1:15" ht="13.15" x14ac:dyDescent="0.25">
      <c r="A44" s="63"/>
      <c r="B44" s="202" t="s">
        <v>90</v>
      </c>
      <c r="C44" s="202"/>
      <c r="D44" s="202"/>
      <c r="E44" s="202"/>
      <c r="F44" s="202"/>
      <c r="G44" s="202"/>
      <c r="H44" s="67">
        <v>6120</v>
      </c>
      <c r="I44" s="67">
        <f t="shared" si="13"/>
        <v>6242.4000000000005</v>
      </c>
      <c r="J44" s="67">
        <f t="shared" si="13"/>
        <v>6367.2480000000005</v>
      </c>
      <c r="K44" s="67">
        <f t="shared" si="13"/>
        <v>6494.5929600000009</v>
      </c>
      <c r="L44" s="67">
        <f t="shared" si="13"/>
        <v>6624.4848192000009</v>
      </c>
      <c r="M44" s="67">
        <f t="shared" si="13"/>
        <v>6756.974515584001</v>
      </c>
      <c r="N44" s="67">
        <f t="shared" si="13"/>
        <v>6892.1140058956807</v>
      </c>
    </row>
    <row r="45" spans="1:15" ht="12.75" customHeight="1" x14ac:dyDescent="0.25">
      <c r="A45" s="88"/>
      <c r="B45" s="202" t="s">
        <v>91</v>
      </c>
      <c r="C45" s="202"/>
      <c r="D45" s="202"/>
      <c r="E45" s="202"/>
      <c r="F45" s="202"/>
      <c r="G45" s="202"/>
      <c r="H45" s="67">
        <v>2040</v>
      </c>
      <c r="I45" s="67">
        <f t="shared" si="13"/>
        <v>2080.8000000000002</v>
      </c>
      <c r="J45" s="67">
        <f t="shared" si="13"/>
        <v>2122.4160000000002</v>
      </c>
      <c r="K45" s="67">
        <f t="shared" si="13"/>
        <v>2164.8643200000001</v>
      </c>
      <c r="L45" s="67">
        <f t="shared" si="13"/>
        <v>2208.1616064</v>
      </c>
      <c r="M45" s="67">
        <f t="shared" si="13"/>
        <v>2252.3248385279999</v>
      </c>
      <c r="N45" s="67">
        <f t="shared" si="13"/>
        <v>2297.3713352985601</v>
      </c>
    </row>
    <row r="46" spans="1:15" ht="12.75" customHeight="1" x14ac:dyDescent="0.25">
      <c r="A46" s="70"/>
      <c r="B46" s="204" t="s">
        <v>92</v>
      </c>
      <c r="C46" s="204"/>
      <c r="D46" s="204"/>
      <c r="E46" s="204"/>
      <c r="F46" s="204"/>
      <c r="G46" s="204"/>
      <c r="H46" s="71">
        <f t="shared" ref="H46:N46" si="14">SUM(H41:H45)</f>
        <v>18960</v>
      </c>
      <c r="I46" s="71">
        <f t="shared" si="14"/>
        <v>19339.2</v>
      </c>
      <c r="J46" s="71">
        <f t="shared" si="14"/>
        <v>19725.984000000004</v>
      </c>
      <c r="K46" s="71">
        <f t="shared" si="14"/>
        <v>20120.503680000002</v>
      </c>
      <c r="L46" s="71">
        <f t="shared" si="14"/>
        <v>20522.913753600002</v>
      </c>
      <c r="M46" s="71">
        <f t="shared" si="14"/>
        <v>20933.372028672002</v>
      </c>
      <c r="N46" s="71">
        <f t="shared" si="14"/>
        <v>21352.039469245443</v>
      </c>
    </row>
    <row r="47" spans="1:15" ht="12.75" customHeight="1" x14ac:dyDescent="0.25">
      <c r="A47" s="77">
        <v>450</v>
      </c>
      <c r="B47" s="210" t="s">
        <v>93</v>
      </c>
      <c r="C47" s="210"/>
      <c r="D47" s="210"/>
      <c r="E47" s="210"/>
      <c r="F47" s="210"/>
      <c r="G47" s="210"/>
      <c r="H47" s="73"/>
      <c r="I47" s="73"/>
      <c r="J47" s="73"/>
      <c r="K47" s="73"/>
      <c r="L47" s="73"/>
      <c r="M47" s="73"/>
      <c r="N47" s="73"/>
      <c r="O47" s="54" t="s">
        <v>275</v>
      </c>
    </row>
    <row r="48" spans="1:15" ht="24.75" customHeight="1" x14ac:dyDescent="0.2">
      <c r="A48" s="63"/>
      <c r="B48" s="202" t="s">
        <v>94</v>
      </c>
      <c r="C48" s="202"/>
      <c r="D48" s="202"/>
      <c r="E48" s="202"/>
      <c r="F48" s="202"/>
      <c r="G48" s="202"/>
      <c r="H48" s="67">
        <v>108000</v>
      </c>
      <c r="I48" s="67">
        <f t="shared" ref="I48:N51" si="15">H48*$N$1</f>
        <v>110160</v>
      </c>
      <c r="J48" s="67">
        <f t="shared" si="15"/>
        <v>112363.2</v>
      </c>
      <c r="K48" s="67">
        <f t="shared" si="15"/>
        <v>114610.46399999999</v>
      </c>
      <c r="L48" s="67">
        <f t="shared" si="15"/>
        <v>116902.67327999999</v>
      </c>
      <c r="M48" s="67">
        <f t="shared" si="15"/>
        <v>119240.7267456</v>
      </c>
      <c r="N48" s="67">
        <f t="shared" si="15"/>
        <v>121625.541280512</v>
      </c>
    </row>
    <row r="49" spans="1:251" ht="14.25" customHeight="1" x14ac:dyDescent="0.2">
      <c r="A49" s="63"/>
      <c r="B49" s="202" t="s">
        <v>95</v>
      </c>
      <c r="C49" s="202"/>
      <c r="D49" s="202"/>
      <c r="E49" s="202"/>
      <c r="F49" s="202"/>
      <c r="G49" s="202"/>
      <c r="H49" s="67">
        <v>1795</v>
      </c>
      <c r="I49" s="67">
        <f t="shared" si="15"/>
        <v>1830.9</v>
      </c>
      <c r="J49" s="67">
        <f t="shared" si="15"/>
        <v>1867.518</v>
      </c>
      <c r="K49" s="67">
        <f t="shared" si="15"/>
        <v>1904.8683600000002</v>
      </c>
      <c r="L49" s="67">
        <f t="shared" si="15"/>
        <v>1942.9657272000002</v>
      </c>
      <c r="M49" s="67">
        <f t="shared" si="15"/>
        <v>1981.8250417440001</v>
      </c>
      <c r="N49" s="67">
        <f t="shared" si="15"/>
        <v>2021.4615425788802</v>
      </c>
    </row>
    <row r="50" spans="1:251" ht="13.5" customHeight="1" x14ac:dyDescent="0.2">
      <c r="A50" s="63"/>
      <c r="B50" s="202" t="s">
        <v>96</v>
      </c>
      <c r="C50" s="202"/>
      <c r="D50" s="202"/>
      <c r="E50" s="202"/>
      <c r="F50" s="202"/>
      <c r="G50" s="202"/>
      <c r="H50" s="67">
        <v>9250</v>
      </c>
      <c r="I50" s="67">
        <f t="shared" si="15"/>
        <v>9435</v>
      </c>
      <c r="J50" s="67">
        <f t="shared" si="15"/>
        <v>9623.7000000000007</v>
      </c>
      <c r="K50" s="67">
        <f t="shared" si="15"/>
        <v>9816.1740000000009</v>
      </c>
      <c r="L50" s="67">
        <f t="shared" si="15"/>
        <v>10012.497480000002</v>
      </c>
      <c r="M50" s="67">
        <f t="shared" si="15"/>
        <v>10212.747429600002</v>
      </c>
      <c r="N50" s="67">
        <f t="shared" si="15"/>
        <v>10417.002378192003</v>
      </c>
    </row>
    <row r="51" spans="1:251" ht="12.75" customHeight="1" x14ac:dyDescent="0.2">
      <c r="A51" s="63"/>
      <c r="B51" s="202" t="s">
        <v>97</v>
      </c>
      <c r="C51" s="202"/>
      <c r="D51" s="202"/>
      <c r="E51" s="202"/>
      <c r="F51" s="202"/>
      <c r="G51" s="202"/>
      <c r="H51" s="67">
        <v>1750</v>
      </c>
      <c r="I51" s="67">
        <f t="shared" si="15"/>
        <v>1785</v>
      </c>
      <c r="J51" s="67">
        <f t="shared" si="15"/>
        <v>1820.7</v>
      </c>
      <c r="K51" s="67">
        <f t="shared" si="15"/>
        <v>1857.114</v>
      </c>
      <c r="L51" s="67">
        <f t="shared" si="15"/>
        <v>1894.2562800000001</v>
      </c>
      <c r="M51" s="67">
        <f t="shared" si="15"/>
        <v>1932.1414056000001</v>
      </c>
      <c r="N51" s="67">
        <f t="shared" si="15"/>
        <v>1970.7842337120001</v>
      </c>
    </row>
    <row r="52" spans="1:251" ht="15.75" customHeight="1" x14ac:dyDescent="0.2">
      <c r="A52" s="70"/>
      <c r="B52" s="204" t="s">
        <v>98</v>
      </c>
      <c r="C52" s="204"/>
      <c r="D52" s="204"/>
      <c r="E52" s="204"/>
      <c r="F52" s="204"/>
      <c r="G52" s="204"/>
      <c r="H52" s="92">
        <f t="shared" ref="H52:N52" si="16">SUM(H48:H51)</f>
        <v>120795</v>
      </c>
      <c r="I52" s="92">
        <f t="shared" si="16"/>
        <v>123210.9</v>
      </c>
      <c r="J52" s="92">
        <f t="shared" si="16"/>
        <v>125675.11799999999</v>
      </c>
      <c r="K52" s="92">
        <f t="shared" si="16"/>
        <v>128188.62035999999</v>
      </c>
      <c r="L52" s="92">
        <f t="shared" si="16"/>
        <v>130752.3927672</v>
      </c>
      <c r="M52" s="92">
        <f t="shared" si="16"/>
        <v>133367.440622544</v>
      </c>
      <c r="N52" s="92">
        <f t="shared" si="16"/>
        <v>136034.78943499489</v>
      </c>
    </row>
    <row r="53" spans="1:251" ht="12.75" customHeight="1" x14ac:dyDescent="0.2">
      <c r="A53" s="79">
        <v>460</v>
      </c>
      <c r="B53" s="208" t="s">
        <v>99</v>
      </c>
      <c r="C53" s="208"/>
      <c r="D53" s="208"/>
      <c r="E53" s="208"/>
      <c r="F53" s="208"/>
      <c r="G53" s="208"/>
      <c r="H53" s="83">
        <v>77000</v>
      </c>
      <c r="I53" s="80">
        <f t="shared" ref="I53:N56" si="17">H53*$N$1</f>
        <v>78540</v>
      </c>
      <c r="J53" s="80">
        <f t="shared" si="17"/>
        <v>80110.8</v>
      </c>
      <c r="K53" s="80">
        <f t="shared" si="17"/>
        <v>81713.016000000003</v>
      </c>
      <c r="L53" s="80">
        <f t="shared" si="17"/>
        <v>83347.276320000004</v>
      </c>
      <c r="M53" s="80">
        <f t="shared" si="17"/>
        <v>85014.221846400003</v>
      </c>
      <c r="N53" s="80">
        <f t="shared" si="17"/>
        <v>86714.50628332801</v>
      </c>
      <c r="O53" s="54" t="s">
        <v>279</v>
      </c>
    </row>
    <row r="54" spans="1:251" ht="12.75" customHeight="1" x14ac:dyDescent="0.2">
      <c r="A54" s="79">
        <v>461</v>
      </c>
      <c r="B54" s="208" t="s">
        <v>100</v>
      </c>
      <c r="C54" s="208"/>
      <c r="D54" s="208"/>
      <c r="E54" s="208"/>
      <c r="F54" s="208"/>
      <c r="G54" s="208"/>
      <c r="H54" s="83">
        <v>110000</v>
      </c>
      <c r="I54" s="80">
        <v>65000</v>
      </c>
      <c r="J54" s="80">
        <f t="shared" si="17"/>
        <v>66300</v>
      </c>
      <c r="K54" s="80">
        <f t="shared" si="17"/>
        <v>67626</v>
      </c>
      <c r="L54" s="80">
        <f t="shared" si="17"/>
        <v>68978.52</v>
      </c>
      <c r="M54" s="80">
        <f t="shared" si="17"/>
        <v>70358.090400000001</v>
      </c>
      <c r="N54" s="80">
        <f t="shared" si="17"/>
        <v>71765.252208000005</v>
      </c>
      <c r="O54" s="54" t="s">
        <v>280</v>
      </c>
    </row>
    <row r="55" spans="1:251" ht="12.75" customHeight="1" x14ac:dyDescent="0.2">
      <c r="A55" s="79">
        <v>462</v>
      </c>
      <c r="B55" s="208" t="s">
        <v>101</v>
      </c>
      <c r="C55" s="208"/>
      <c r="D55" s="208"/>
      <c r="E55" s="208"/>
      <c r="F55" s="208"/>
      <c r="G55" s="208"/>
      <c r="H55" s="83">
        <v>70000</v>
      </c>
      <c r="I55" s="80">
        <f t="shared" ref="I55:N55" si="18">H55*$N$1</f>
        <v>71400</v>
      </c>
      <c r="J55" s="80">
        <f t="shared" si="18"/>
        <v>72828</v>
      </c>
      <c r="K55" s="80">
        <f t="shared" si="18"/>
        <v>74284.56</v>
      </c>
      <c r="L55" s="80">
        <f t="shared" si="18"/>
        <v>75770.251199999999</v>
      </c>
      <c r="M55" s="80">
        <f t="shared" si="18"/>
        <v>77285.656224000006</v>
      </c>
      <c r="N55" s="80">
        <f t="shared" si="18"/>
        <v>78831.369348480002</v>
      </c>
      <c r="O55" s="54" t="s">
        <v>281</v>
      </c>
    </row>
    <row r="56" spans="1:251" ht="12.75" customHeight="1" x14ac:dyDescent="0.2">
      <c r="A56" s="79">
        <v>470</v>
      </c>
      <c r="B56" s="208" t="s">
        <v>102</v>
      </c>
      <c r="C56" s="208"/>
      <c r="D56" s="208"/>
      <c r="E56" s="208"/>
      <c r="F56" s="208"/>
      <c r="G56" s="208"/>
      <c r="H56" s="83">
        <v>1300</v>
      </c>
      <c r="I56" s="80">
        <f t="shared" si="17"/>
        <v>1326</v>
      </c>
      <c r="J56" s="80">
        <f t="shared" si="17"/>
        <v>1352.52</v>
      </c>
      <c r="K56" s="80">
        <f t="shared" si="17"/>
        <v>1379.5704000000001</v>
      </c>
      <c r="L56" s="80">
        <f t="shared" si="17"/>
        <v>1407.1618080000001</v>
      </c>
      <c r="M56" s="80">
        <f t="shared" si="17"/>
        <v>1435.3050441600001</v>
      </c>
      <c r="N56" s="80">
        <f t="shared" si="17"/>
        <v>1464.0111450432</v>
      </c>
      <c r="O56" s="54" t="s">
        <v>282</v>
      </c>
    </row>
    <row r="57" spans="1:251" ht="12.75" customHeight="1" x14ac:dyDescent="0.2">
      <c r="A57" s="63">
        <v>490</v>
      </c>
      <c r="B57" s="213" t="s">
        <v>103</v>
      </c>
      <c r="C57" s="213"/>
      <c r="D57" s="213"/>
      <c r="E57" s="213"/>
      <c r="F57" s="213"/>
      <c r="G57" s="213"/>
      <c r="H57" s="73"/>
      <c r="I57" s="73"/>
      <c r="J57" s="73"/>
      <c r="K57" s="73"/>
      <c r="L57" s="73"/>
      <c r="M57" s="73"/>
      <c r="N57" s="73"/>
      <c r="O57" s="54" t="s">
        <v>283</v>
      </c>
    </row>
    <row r="58" spans="1:251" ht="12.75" customHeight="1" x14ac:dyDescent="0.2">
      <c r="A58" s="66" t="s">
        <v>104</v>
      </c>
      <c r="B58" s="202" t="s">
        <v>105</v>
      </c>
      <c r="C58" s="202"/>
      <c r="D58" s="202"/>
      <c r="E58" s="202"/>
      <c r="F58" s="202"/>
      <c r="G58" s="202"/>
      <c r="H58" s="67">
        <v>6000</v>
      </c>
      <c r="I58" s="67">
        <f t="shared" ref="I58:N59" si="19">H58*$N$1</f>
        <v>6120</v>
      </c>
      <c r="J58" s="67">
        <f t="shared" si="19"/>
        <v>6242.4000000000005</v>
      </c>
      <c r="K58" s="67">
        <f t="shared" si="19"/>
        <v>6367.2480000000005</v>
      </c>
      <c r="L58" s="67">
        <f t="shared" si="19"/>
        <v>6494.5929600000009</v>
      </c>
      <c r="M58" s="67">
        <f t="shared" si="19"/>
        <v>6624.4848192000009</v>
      </c>
      <c r="N58" s="67">
        <f t="shared" si="19"/>
        <v>6756.974515584001</v>
      </c>
      <c r="O58" s="74"/>
      <c r="P58" s="74"/>
      <c r="Q58" s="74"/>
      <c r="R58" s="74"/>
      <c r="S58" s="74"/>
      <c r="T58" s="93"/>
      <c r="U58" s="202"/>
      <c r="V58" s="202"/>
      <c r="W58" s="202"/>
      <c r="X58" s="202"/>
      <c r="Y58" s="202"/>
      <c r="Z58" s="202"/>
      <c r="AA58" s="94"/>
      <c r="AB58" s="95"/>
      <c r="AC58" s="88"/>
      <c r="AD58" s="88"/>
      <c r="AE58" s="67"/>
      <c r="AF58" s="96"/>
      <c r="AG58" s="212"/>
      <c r="AH58" s="202"/>
      <c r="AI58" s="202"/>
      <c r="AJ58" s="202"/>
      <c r="AK58" s="202"/>
      <c r="AL58" s="202"/>
      <c r="AM58" s="94"/>
      <c r="AN58" s="95"/>
      <c r="AO58" s="88"/>
      <c r="AP58" s="88"/>
      <c r="AQ58" s="67"/>
      <c r="AR58" s="96"/>
      <c r="AS58" s="212"/>
      <c r="AT58" s="202"/>
      <c r="AU58" s="202"/>
      <c r="AV58" s="202"/>
      <c r="AW58" s="202"/>
      <c r="AX58" s="202"/>
      <c r="AY58" s="94"/>
      <c r="AZ58" s="95"/>
      <c r="BA58" s="88"/>
      <c r="BB58" s="88"/>
      <c r="BC58" s="67"/>
      <c r="BD58" s="96"/>
      <c r="BE58" s="212"/>
      <c r="BF58" s="202"/>
      <c r="BG58" s="202"/>
      <c r="BH58" s="202"/>
      <c r="BI58" s="202"/>
      <c r="BJ58" s="202"/>
      <c r="BK58" s="94"/>
      <c r="BL58" s="95"/>
      <c r="BM58" s="88"/>
      <c r="BN58" s="88"/>
      <c r="BO58" s="67"/>
      <c r="BP58" s="96"/>
      <c r="BQ58" s="212"/>
      <c r="BR58" s="202"/>
      <c r="BS58" s="202"/>
      <c r="BT58" s="202"/>
      <c r="BU58" s="202"/>
      <c r="BV58" s="202"/>
      <c r="BW58" s="94"/>
      <c r="BX58" s="95"/>
      <c r="BY58" s="88"/>
      <c r="BZ58" s="88"/>
      <c r="CA58" s="67"/>
      <c r="CB58" s="96"/>
      <c r="CC58" s="212"/>
      <c r="CD58" s="202"/>
      <c r="CE58" s="202"/>
      <c r="CF58" s="202"/>
      <c r="CG58" s="202"/>
      <c r="CH58" s="202"/>
      <c r="CI58" s="94"/>
      <c r="CJ58" s="95"/>
      <c r="CK58" s="88"/>
      <c r="CL58" s="88"/>
      <c r="CM58" s="67"/>
      <c r="CN58" s="96"/>
      <c r="CO58" s="212"/>
      <c r="CP58" s="202"/>
      <c r="CQ58" s="202"/>
      <c r="CR58" s="202"/>
      <c r="CS58" s="202"/>
      <c r="CT58" s="202"/>
      <c r="CU58" s="94"/>
      <c r="CV58" s="95"/>
      <c r="CW58" s="88"/>
      <c r="CX58" s="88"/>
      <c r="CY58" s="67"/>
      <c r="CZ58" s="96"/>
      <c r="DA58" s="212"/>
      <c r="DB58" s="202"/>
      <c r="DC58" s="202"/>
      <c r="DD58" s="202"/>
      <c r="DE58" s="202"/>
      <c r="DF58" s="202"/>
      <c r="DG58" s="94"/>
      <c r="DH58" s="95"/>
      <c r="DI58" s="88"/>
      <c r="DJ58" s="88"/>
      <c r="DK58" s="67"/>
      <c r="DL58" s="96"/>
      <c r="DM58" s="212"/>
      <c r="DN58" s="202"/>
      <c r="DO58" s="202"/>
      <c r="DP58" s="202"/>
      <c r="DQ58" s="202"/>
      <c r="DR58" s="202"/>
      <c r="DS58" s="94"/>
      <c r="DT58" s="95"/>
      <c r="DU58" s="88"/>
      <c r="DV58" s="88"/>
      <c r="DW58" s="67"/>
      <c r="DX58" s="96"/>
      <c r="DY58" s="212"/>
      <c r="DZ58" s="202"/>
      <c r="EA58" s="202"/>
      <c r="EB58" s="202"/>
      <c r="EC58" s="202"/>
      <c r="ED58" s="202"/>
      <c r="EE58" s="94"/>
      <c r="EF58" s="95"/>
      <c r="EG58" s="88"/>
      <c r="EH58" s="88"/>
      <c r="EI58" s="67"/>
      <c r="EJ58" s="96"/>
      <c r="EK58" s="212"/>
      <c r="EL58" s="202"/>
      <c r="EM58" s="202"/>
      <c r="EN58" s="202"/>
      <c r="EO58" s="202"/>
      <c r="EP58" s="202"/>
      <c r="EQ58" s="94"/>
      <c r="ER58" s="95"/>
      <c r="ES58" s="88"/>
      <c r="ET58" s="88"/>
      <c r="EU58" s="67"/>
      <c r="EV58" s="96"/>
      <c r="EW58" s="212"/>
      <c r="EX58" s="202"/>
      <c r="EY58" s="202"/>
      <c r="EZ58" s="202"/>
      <c r="FA58" s="202"/>
      <c r="FB58" s="202"/>
      <c r="FC58" s="94"/>
      <c r="FD58" s="95"/>
      <c r="FE58" s="88"/>
      <c r="FF58" s="88"/>
      <c r="FG58" s="67"/>
      <c r="FH58" s="96"/>
      <c r="FI58" s="212"/>
      <c r="FJ58" s="202"/>
      <c r="FK58" s="202"/>
      <c r="FL58" s="202"/>
      <c r="FM58" s="202"/>
      <c r="FN58" s="202"/>
      <c r="FO58" s="94"/>
      <c r="FP58" s="95"/>
      <c r="FQ58" s="88"/>
      <c r="FR58" s="88"/>
      <c r="FS58" s="67"/>
      <c r="FT58" s="96"/>
      <c r="FU58" s="212"/>
      <c r="FV58" s="202"/>
      <c r="FW58" s="202"/>
      <c r="FX58" s="202"/>
      <c r="FY58" s="202"/>
      <c r="FZ58" s="202"/>
      <c r="GA58" s="94"/>
      <c r="GB58" s="95"/>
      <c r="GC58" s="88"/>
      <c r="GD58" s="88"/>
      <c r="GE58" s="67"/>
      <c r="GF58" s="96"/>
      <c r="GG58" s="212"/>
      <c r="GH58" s="202"/>
      <c r="GI58" s="202"/>
      <c r="GJ58" s="202"/>
      <c r="GK58" s="202"/>
      <c r="GL58" s="202"/>
      <c r="GM58" s="94"/>
      <c r="GN58" s="95"/>
      <c r="GO58" s="88"/>
      <c r="GP58" s="88"/>
      <c r="GQ58" s="67"/>
      <c r="GR58" s="96"/>
      <c r="GS58" s="212"/>
      <c r="GT58" s="202"/>
      <c r="GU58" s="202"/>
      <c r="GV58" s="202"/>
      <c r="GW58" s="202"/>
      <c r="GX58" s="202"/>
      <c r="GY58" s="94"/>
      <c r="GZ58" s="95"/>
      <c r="HA58" s="88"/>
      <c r="HB58" s="88"/>
      <c r="HC58" s="67"/>
      <c r="HD58" s="96"/>
      <c r="HE58" s="212"/>
      <c r="HF58" s="202"/>
      <c r="HG58" s="202"/>
      <c r="HH58" s="202"/>
      <c r="HI58" s="202"/>
      <c r="HJ58" s="202"/>
      <c r="HK58" s="94"/>
      <c r="HL58" s="95"/>
      <c r="HM58" s="88"/>
      <c r="HN58" s="88"/>
      <c r="HO58" s="67"/>
      <c r="HP58" s="96"/>
      <c r="HQ58" s="212"/>
      <c r="HR58" s="202"/>
      <c r="HS58" s="202"/>
      <c r="HT58" s="202"/>
      <c r="HU58" s="202"/>
      <c r="HV58" s="202"/>
      <c r="HW58" s="94"/>
      <c r="HX58" s="95"/>
      <c r="HY58" s="88"/>
      <c r="HZ58" s="88"/>
      <c r="IA58" s="67"/>
      <c r="IB58" s="96"/>
      <c r="IC58" s="212"/>
      <c r="ID58" s="202"/>
      <c r="IE58" s="202"/>
      <c r="IF58" s="202"/>
      <c r="IG58" s="202"/>
      <c r="IH58" s="202"/>
      <c r="II58" s="94"/>
      <c r="IJ58" s="95"/>
      <c r="IK58" s="88"/>
      <c r="IL58" s="88"/>
      <c r="IM58" s="67"/>
      <c r="IN58" s="96"/>
      <c r="IO58" s="212"/>
      <c r="IP58" s="202"/>
      <c r="IQ58" s="202"/>
    </row>
    <row r="59" spans="1:251" x14ac:dyDescent="0.2">
      <c r="A59" s="66" t="s">
        <v>106</v>
      </c>
      <c r="B59" s="202" t="s">
        <v>107</v>
      </c>
      <c r="C59" s="202"/>
      <c r="D59" s="202"/>
      <c r="E59" s="202"/>
      <c r="F59" s="202"/>
      <c r="G59" s="202"/>
      <c r="H59" s="67">
        <v>12500</v>
      </c>
      <c r="I59" s="67">
        <f t="shared" si="19"/>
        <v>12750</v>
      </c>
      <c r="J59" s="67">
        <f t="shared" si="19"/>
        <v>13005</v>
      </c>
      <c r="K59" s="67">
        <f t="shared" si="19"/>
        <v>13265.1</v>
      </c>
      <c r="L59" s="67">
        <f t="shared" si="19"/>
        <v>13530.402</v>
      </c>
      <c r="M59" s="67">
        <f t="shared" si="19"/>
        <v>13801.010040000001</v>
      </c>
      <c r="N59" s="67">
        <f t="shared" si="19"/>
        <v>14077.030240800001</v>
      </c>
    </row>
    <row r="60" spans="1:251" ht="12.75" customHeight="1" x14ac:dyDescent="0.2">
      <c r="A60" s="70"/>
      <c r="B60" s="204" t="s">
        <v>108</v>
      </c>
      <c r="C60" s="204"/>
      <c r="D60" s="204"/>
      <c r="E60" s="204"/>
      <c r="F60" s="204"/>
      <c r="G60" s="204"/>
      <c r="H60" s="71">
        <f t="shared" ref="H60:N60" si="20">SUM(H58:H59)</f>
        <v>18500</v>
      </c>
      <c r="I60" s="71">
        <f t="shared" si="20"/>
        <v>18870</v>
      </c>
      <c r="J60" s="71">
        <f t="shared" si="20"/>
        <v>19247.400000000001</v>
      </c>
      <c r="K60" s="71">
        <f t="shared" si="20"/>
        <v>19632.348000000002</v>
      </c>
      <c r="L60" s="71">
        <f t="shared" si="20"/>
        <v>20024.99496</v>
      </c>
      <c r="M60" s="71">
        <f t="shared" si="20"/>
        <v>20425.4948592</v>
      </c>
      <c r="N60" s="71">
        <f t="shared" si="20"/>
        <v>20834.004756384002</v>
      </c>
    </row>
    <row r="61" spans="1:251" x14ac:dyDescent="0.2">
      <c r="A61" s="77">
        <v>491</v>
      </c>
      <c r="B61" s="210" t="s">
        <v>109</v>
      </c>
      <c r="C61" s="210"/>
      <c r="D61" s="210"/>
      <c r="E61" s="210"/>
      <c r="F61" s="210"/>
      <c r="G61" s="210"/>
      <c r="H61" s="73"/>
      <c r="I61" s="73"/>
      <c r="J61" s="73"/>
      <c r="K61" s="73"/>
      <c r="L61" s="73"/>
      <c r="M61" s="73"/>
      <c r="N61" s="73"/>
      <c r="O61" s="54" t="s">
        <v>284</v>
      </c>
    </row>
    <row r="62" spans="1:251" ht="12.75" customHeight="1" x14ac:dyDescent="0.2">
      <c r="A62" s="66" t="s">
        <v>55</v>
      </c>
      <c r="B62" s="202" t="s">
        <v>110</v>
      </c>
      <c r="C62" s="202"/>
      <c r="D62" s="202"/>
      <c r="E62" s="202"/>
      <c r="F62" s="202"/>
      <c r="G62" s="202"/>
      <c r="H62" s="67">
        <v>20000</v>
      </c>
      <c r="I62" s="67">
        <f t="shared" ref="I62:N64" si="21">H62*$N$1</f>
        <v>20400</v>
      </c>
      <c r="J62" s="67">
        <f t="shared" si="21"/>
        <v>20808</v>
      </c>
      <c r="K62" s="67">
        <f t="shared" si="21"/>
        <v>21224.16</v>
      </c>
      <c r="L62" s="67">
        <f t="shared" si="21"/>
        <v>21648.643199999999</v>
      </c>
      <c r="M62" s="67">
        <f t="shared" si="21"/>
        <v>22081.616063999998</v>
      </c>
      <c r="N62" s="67">
        <f t="shared" si="21"/>
        <v>22523.24838528</v>
      </c>
    </row>
    <row r="63" spans="1:251" ht="12.75" customHeight="1" x14ac:dyDescent="0.2">
      <c r="A63" s="66" t="s">
        <v>50</v>
      </c>
      <c r="B63" s="202" t="s">
        <v>111</v>
      </c>
      <c r="C63" s="202"/>
      <c r="D63" s="202"/>
      <c r="E63" s="202"/>
      <c r="F63" s="202"/>
      <c r="G63" s="202"/>
      <c r="H63" s="67">
        <v>5345</v>
      </c>
      <c r="I63" s="67">
        <f t="shared" si="21"/>
        <v>5451.9000000000005</v>
      </c>
      <c r="J63" s="67">
        <f t="shared" si="21"/>
        <v>5560.938000000001</v>
      </c>
      <c r="K63" s="67">
        <f t="shared" si="21"/>
        <v>5672.1567600000008</v>
      </c>
      <c r="L63" s="67">
        <f t="shared" si="21"/>
        <v>5785.5998952000009</v>
      </c>
      <c r="M63" s="67">
        <f t="shared" si="21"/>
        <v>5901.3118931040008</v>
      </c>
      <c r="N63" s="67">
        <f t="shared" si="21"/>
        <v>6019.3381309660808</v>
      </c>
    </row>
    <row r="64" spans="1:251" ht="14.65" customHeight="1" x14ac:dyDescent="0.2">
      <c r="A64" s="66" t="s">
        <v>56</v>
      </c>
      <c r="B64" s="211" t="s">
        <v>112</v>
      </c>
      <c r="C64" s="211"/>
      <c r="D64" s="211"/>
      <c r="E64" s="211"/>
      <c r="F64" s="211"/>
      <c r="G64" s="211"/>
      <c r="H64" s="67">
        <v>3250</v>
      </c>
      <c r="I64" s="67">
        <f t="shared" si="21"/>
        <v>3315</v>
      </c>
      <c r="J64" s="67">
        <f t="shared" si="21"/>
        <v>3381.3</v>
      </c>
      <c r="K64" s="67">
        <f t="shared" si="21"/>
        <v>3448.9260000000004</v>
      </c>
      <c r="L64" s="67">
        <f t="shared" si="21"/>
        <v>3517.9045200000005</v>
      </c>
      <c r="M64" s="67">
        <f t="shared" si="21"/>
        <v>3588.2626104000005</v>
      </c>
      <c r="N64" s="67">
        <f t="shared" si="21"/>
        <v>3660.0278626080008</v>
      </c>
    </row>
    <row r="65" spans="1:15" ht="12.75" hidden="1" customHeight="1" x14ac:dyDescent="0.25">
      <c r="A65" s="66"/>
      <c r="B65" s="202" t="s">
        <v>113</v>
      </c>
      <c r="C65" s="202"/>
      <c r="D65" s="202"/>
      <c r="E65" s="202"/>
      <c r="F65" s="202"/>
      <c r="G65" s="202"/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1:15" ht="12.75" customHeight="1" x14ac:dyDescent="0.2">
      <c r="A66" s="66" t="s">
        <v>81</v>
      </c>
      <c r="B66" s="202" t="s">
        <v>114</v>
      </c>
      <c r="C66" s="202"/>
      <c r="D66" s="202"/>
      <c r="E66" s="202"/>
      <c r="F66" s="202"/>
      <c r="G66" s="202"/>
      <c r="H66" s="67">
        <v>3400</v>
      </c>
      <c r="I66" s="67">
        <f t="shared" ref="I66:N67" si="22">H66*$N$1</f>
        <v>3468</v>
      </c>
      <c r="J66" s="67">
        <f t="shared" si="22"/>
        <v>3537.36</v>
      </c>
      <c r="K66" s="67">
        <f t="shared" si="22"/>
        <v>3608.1072000000004</v>
      </c>
      <c r="L66" s="67">
        <f t="shared" si="22"/>
        <v>3680.2693440000003</v>
      </c>
      <c r="M66" s="67">
        <f t="shared" si="22"/>
        <v>3753.8747308800002</v>
      </c>
      <c r="N66" s="67">
        <f t="shared" si="22"/>
        <v>3828.9522254976005</v>
      </c>
    </row>
    <row r="67" spans="1:15" ht="12.75" customHeight="1" x14ac:dyDescent="0.2">
      <c r="A67" s="66" t="s">
        <v>104</v>
      </c>
      <c r="B67" s="202" t="s">
        <v>115</v>
      </c>
      <c r="C67" s="202"/>
      <c r="D67" s="202"/>
      <c r="E67" s="202"/>
      <c r="F67" s="202"/>
      <c r="G67" s="202"/>
      <c r="H67" s="67">
        <v>6550</v>
      </c>
      <c r="I67" s="67">
        <f t="shared" si="22"/>
        <v>6681</v>
      </c>
      <c r="J67" s="67">
        <f t="shared" si="22"/>
        <v>6814.62</v>
      </c>
      <c r="K67" s="67">
        <f t="shared" si="22"/>
        <v>6950.9124000000002</v>
      </c>
      <c r="L67" s="67">
        <f t="shared" si="22"/>
        <v>7089.9306480000005</v>
      </c>
      <c r="M67" s="67">
        <f t="shared" si="22"/>
        <v>7231.7292609600008</v>
      </c>
      <c r="N67" s="67">
        <f t="shared" si="22"/>
        <v>7376.3638461792007</v>
      </c>
    </row>
    <row r="68" spans="1:15" ht="12.75" customHeight="1" x14ac:dyDescent="0.2">
      <c r="A68" s="70"/>
      <c r="B68" s="204" t="s">
        <v>116</v>
      </c>
      <c r="C68" s="204"/>
      <c r="D68" s="204"/>
      <c r="E68" s="204"/>
      <c r="F68" s="204"/>
      <c r="G68" s="204"/>
      <c r="H68" s="71">
        <f t="shared" ref="H68:N68" si="23">SUM(H62:H67)</f>
        <v>38545</v>
      </c>
      <c r="I68" s="71">
        <f t="shared" si="23"/>
        <v>39315.9</v>
      </c>
      <c r="J68" s="71">
        <f t="shared" si="23"/>
        <v>40102.218000000001</v>
      </c>
      <c r="K68" s="71">
        <f t="shared" si="23"/>
        <v>40904.262360000001</v>
      </c>
      <c r="L68" s="71">
        <f t="shared" si="23"/>
        <v>41722.347607199998</v>
      </c>
      <c r="M68" s="71">
        <f t="shared" si="23"/>
        <v>42556.794559343994</v>
      </c>
      <c r="N68" s="71">
        <f t="shared" si="23"/>
        <v>43407.930450530883</v>
      </c>
    </row>
    <row r="69" spans="1:15" ht="12.75" customHeight="1" x14ac:dyDescent="0.2">
      <c r="A69" s="79">
        <v>510</v>
      </c>
      <c r="B69" s="208" t="s">
        <v>117</v>
      </c>
      <c r="C69" s="208"/>
      <c r="D69" s="208"/>
      <c r="E69" s="208"/>
      <c r="F69" s="208"/>
      <c r="G69" s="208"/>
      <c r="H69" s="80">
        <v>6750</v>
      </c>
      <c r="I69" s="67">
        <f t="shared" ref="I69:N69" si="24">H69*$N$1</f>
        <v>6885</v>
      </c>
      <c r="J69" s="67">
        <f t="shared" si="24"/>
        <v>7022.7</v>
      </c>
      <c r="K69" s="67">
        <f t="shared" si="24"/>
        <v>7163.1539999999995</v>
      </c>
      <c r="L69" s="67">
        <f t="shared" si="24"/>
        <v>7306.4170799999993</v>
      </c>
      <c r="M69" s="67">
        <f t="shared" si="24"/>
        <v>7452.5454215999998</v>
      </c>
      <c r="N69" s="67">
        <f t="shared" si="24"/>
        <v>7601.596330032</v>
      </c>
      <c r="O69" s="54" t="s">
        <v>286</v>
      </c>
    </row>
    <row r="70" spans="1:15" ht="12.75" customHeight="1" x14ac:dyDescent="0.2">
      <c r="A70" s="77">
        <v>520</v>
      </c>
      <c r="B70" s="210" t="s">
        <v>118</v>
      </c>
      <c r="C70" s="210"/>
      <c r="D70" s="210"/>
      <c r="E70" s="210"/>
      <c r="F70" s="210"/>
      <c r="G70" s="210"/>
      <c r="H70" s="73"/>
      <c r="I70" s="73"/>
      <c r="J70" s="73"/>
      <c r="K70" s="73"/>
      <c r="L70" s="73"/>
      <c r="M70" s="73"/>
      <c r="N70" s="73"/>
      <c r="O70" s="54" t="s">
        <v>285</v>
      </c>
    </row>
    <row r="71" spans="1:15" ht="12.75" customHeight="1" x14ac:dyDescent="0.2">
      <c r="A71" s="66" t="s">
        <v>55</v>
      </c>
      <c r="B71" s="202" t="s">
        <v>119</v>
      </c>
      <c r="C71" s="202"/>
      <c r="D71" s="202"/>
      <c r="E71" s="202"/>
      <c r="F71" s="202"/>
      <c r="G71" s="202"/>
      <c r="H71" s="67">
        <v>1750</v>
      </c>
      <c r="I71" s="67">
        <f t="shared" ref="I71:N73" si="25">H71*$N$1</f>
        <v>1785</v>
      </c>
      <c r="J71" s="67">
        <f t="shared" si="25"/>
        <v>1820.7</v>
      </c>
      <c r="K71" s="67">
        <f t="shared" si="25"/>
        <v>1857.114</v>
      </c>
      <c r="L71" s="67">
        <f t="shared" si="25"/>
        <v>1894.2562800000001</v>
      </c>
      <c r="M71" s="67">
        <f t="shared" si="25"/>
        <v>1932.1414056000001</v>
      </c>
      <c r="N71" s="67">
        <f t="shared" si="25"/>
        <v>1970.7842337120001</v>
      </c>
    </row>
    <row r="72" spans="1:15" ht="12.75" customHeight="1" x14ac:dyDescent="0.2">
      <c r="A72" s="66" t="s">
        <v>50</v>
      </c>
      <c r="B72" s="202" t="s">
        <v>277</v>
      </c>
      <c r="C72" s="202"/>
      <c r="D72" s="202"/>
      <c r="E72" s="202"/>
      <c r="F72" s="202"/>
      <c r="G72" s="202"/>
      <c r="H72" s="67">
        <v>43000</v>
      </c>
      <c r="I72" s="67">
        <f t="shared" si="25"/>
        <v>43860</v>
      </c>
      <c r="J72" s="67">
        <f t="shared" si="25"/>
        <v>44737.200000000004</v>
      </c>
      <c r="K72" s="67">
        <f t="shared" si="25"/>
        <v>45631.944000000003</v>
      </c>
      <c r="L72" s="67">
        <f t="shared" si="25"/>
        <v>46544.582880000002</v>
      </c>
      <c r="M72" s="67">
        <f t="shared" si="25"/>
        <v>47475.474537599999</v>
      </c>
      <c r="N72" s="67">
        <f t="shared" si="25"/>
        <v>48424.984028352002</v>
      </c>
    </row>
    <row r="73" spans="1:15" ht="12.75" customHeight="1" x14ac:dyDescent="0.2">
      <c r="A73" s="66" t="s">
        <v>56</v>
      </c>
      <c r="B73" s="202" t="s">
        <v>139</v>
      </c>
      <c r="C73" s="202"/>
      <c r="D73" s="202"/>
      <c r="E73" s="202"/>
      <c r="F73" s="202"/>
      <c r="G73" s="202"/>
      <c r="H73" s="67">
        <v>78500</v>
      </c>
      <c r="I73" s="67">
        <f t="shared" si="25"/>
        <v>80070</v>
      </c>
      <c r="J73" s="67">
        <f t="shared" si="25"/>
        <v>81671.399999999994</v>
      </c>
      <c r="K73" s="67">
        <f t="shared" si="25"/>
        <v>83304.827999999994</v>
      </c>
      <c r="L73" s="67">
        <f t="shared" si="25"/>
        <v>84970.924559999999</v>
      </c>
      <c r="M73" s="67">
        <f t="shared" si="25"/>
        <v>86670.343051200005</v>
      </c>
      <c r="N73" s="67">
        <f t="shared" si="25"/>
        <v>88403.749912224011</v>
      </c>
    </row>
    <row r="74" spans="1:15" ht="12.75" hidden="1" customHeight="1" x14ac:dyDescent="0.25">
      <c r="A74" s="66">
        <v>520</v>
      </c>
      <c r="B74" s="202" t="s">
        <v>121</v>
      </c>
      <c r="C74" s="202"/>
      <c r="D74" s="202"/>
      <c r="E74" s="202"/>
      <c r="F74" s="202"/>
      <c r="G74" s="202"/>
      <c r="H74" s="67"/>
      <c r="I74" s="67"/>
      <c r="J74" s="67"/>
      <c r="K74" s="67"/>
      <c r="L74" s="67"/>
      <c r="M74" s="67"/>
      <c r="N74" s="67"/>
    </row>
    <row r="75" spans="1:15" ht="12.75" customHeight="1" x14ac:dyDescent="0.2">
      <c r="A75" s="66" t="s">
        <v>104</v>
      </c>
      <c r="B75" s="202" t="s">
        <v>122</v>
      </c>
      <c r="C75" s="202"/>
      <c r="D75" s="202"/>
      <c r="E75" s="202"/>
      <c r="F75" s="202"/>
      <c r="G75" s="202"/>
      <c r="H75" s="67">
        <v>7500</v>
      </c>
      <c r="I75" s="67">
        <f t="shared" ref="I75:N78" si="26">H75*$N$1</f>
        <v>7650</v>
      </c>
      <c r="J75" s="67">
        <f t="shared" si="26"/>
        <v>7803</v>
      </c>
      <c r="K75" s="67">
        <f t="shared" si="26"/>
        <v>7959.06</v>
      </c>
      <c r="L75" s="67">
        <f t="shared" si="26"/>
        <v>8118.2412000000004</v>
      </c>
      <c r="M75" s="67">
        <f t="shared" si="26"/>
        <v>8280.6060240000006</v>
      </c>
      <c r="N75" s="67">
        <f t="shared" si="26"/>
        <v>8446.2181444800008</v>
      </c>
    </row>
    <row r="76" spans="1:15" ht="12.75" customHeight="1" x14ac:dyDescent="0.2">
      <c r="A76" s="66" t="s">
        <v>106</v>
      </c>
      <c r="B76" s="202" t="s">
        <v>123</v>
      </c>
      <c r="C76" s="202"/>
      <c r="D76" s="202"/>
      <c r="E76" s="202"/>
      <c r="F76" s="202"/>
      <c r="G76" s="202"/>
      <c r="H76" s="67">
        <v>25000</v>
      </c>
      <c r="I76" s="67">
        <f t="shared" si="26"/>
        <v>25500</v>
      </c>
      <c r="J76" s="67">
        <f t="shared" si="26"/>
        <v>26010</v>
      </c>
      <c r="K76" s="67">
        <f t="shared" si="26"/>
        <v>26530.2</v>
      </c>
      <c r="L76" s="67">
        <f t="shared" si="26"/>
        <v>27060.804</v>
      </c>
      <c r="M76" s="67">
        <f t="shared" si="26"/>
        <v>27602.020080000002</v>
      </c>
      <c r="N76" s="67">
        <f t="shared" si="26"/>
        <v>28154.060481600001</v>
      </c>
    </row>
    <row r="77" spans="1:15" ht="12.75" customHeight="1" x14ac:dyDescent="0.2">
      <c r="A77" s="66" t="s">
        <v>83</v>
      </c>
      <c r="B77" s="202" t="s">
        <v>124</v>
      </c>
      <c r="C77" s="202"/>
      <c r="D77" s="202"/>
      <c r="E77" s="202"/>
      <c r="F77" s="202"/>
      <c r="G77" s="202"/>
      <c r="H77" s="67">
        <v>14000</v>
      </c>
      <c r="I77" s="67">
        <f t="shared" si="26"/>
        <v>14280</v>
      </c>
      <c r="J77" s="67">
        <f t="shared" si="26"/>
        <v>14565.6</v>
      </c>
      <c r="K77" s="67">
        <f t="shared" si="26"/>
        <v>14856.912</v>
      </c>
      <c r="L77" s="67">
        <f t="shared" si="26"/>
        <v>15154.05024</v>
      </c>
      <c r="M77" s="67">
        <f t="shared" si="26"/>
        <v>15457.131244800001</v>
      </c>
      <c r="N77" s="67">
        <f t="shared" si="26"/>
        <v>15766.273869696</v>
      </c>
    </row>
    <row r="78" spans="1:15" ht="12.75" customHeight="1" x14ac:dyDescent="0.2">
      <c r="A78" s="66" t="s">
        <v>125</v>
      </c>
      <c r="B78" s="202" t="s">
        <v>126</v>
      </c>
      <c r="C78" s="202"/>
      <c r="D78" s="202"/>
      <c r="E78" s="202"/>
      <c r="F78" s="202"/>
      <c r="G78" s="202"/>
      <c r="H78" s="67">
        <v>11000</v>
      </c>
      <c r="I78" s="67">
        <f t="shared" si="26"/>
        <v>11220</v>
      </c>
      <c r="J78" s="67">
        <f t="shared" si="26"/>
        <v>11444.4</v>
      </c>
      <c r="K78" s="67">
        <f t="shared" si="26"/>
        <v>11673.288</v>
      </c>
      <c r="L78" s="67">
        <f t="shared" si="26"/>
        <v>11906.753760000001</v>
      </c>
      <c r="M78" s="67">
        <f t="shared" si="26"/>
        <v>12144.888835200001</v>
      </c>
      <c r="N78" s="67">
        <f t="shared" si="26"/>
        <v>12387.786611904001</v>
      </c>
    </row>
    <row r="79" spans="1:15" ht="17.25" customHeight="1" x14ac:dyDescent="0.2">
      <c r="A79" s="70"/>
      <c r="B79" s="204" t="s">
        <v>127</v>
      </c>
      <c r="C79" s="204"/>
      <c r="D79" s="204"/>
      <c r="E79" s="204"/>
      <c r="F79" s="204"/>
      <c r="G79" s="204"/>
      <c r="H79" s="71">
        <f t="shared" ref="H79:N79" si="27">SUM(H71:H78)</f>
        <v>180750</v>
      </c>
      <c r="I79" s="71">
        <f t="shared" si="27"/>
        <v>184365</v>
      </c>
      <c r="J79" s="71">
        <f t="shared" si="27"/>
        <v>188052.3</v>
      </c>
      <c r="K79" s="71">
        <f t="shared" si="27"/>
        <v>191813.34600000002</v>
      </c>
      <c r="L79" s="71">
        <f t="shared" si="27"/>
        <v>195649.61291999999</v>
      </c>
      <c r="M79" s="71">
        <f t="shared" si="27"/>
        <v>199562.6051784</v>
      </c>
      <c r="N79" s="71">
        <f t="shared" si="27"/>
        <v>203553.85728196803</v>
      </c>
    </row>
    <row r="80" spans="1:15" ht="17.25" customHeight="1" x14ac:dyDescent="0.2">
      <c r="A80" s="79">
        <v>521</v>
      </c>
      <c r="B80" s="208" t="s">
        <v>128</v>
      </c>
      <c r="C80" s="208"/>
      <c r="D80" s="208"/>
      <c r="E80" s="208"/>
      <c r="F80" s="208"/>
      <c r="G80" s="208"/>
      <c r="H80" s="80">
        <v>100</v>
      </c>
      <c r="I80" s="67">
        <f t="shared" ref="I80:N82" si="28">H80*$N$1</f>
        <v>102</v>
      </c>
      <c r="J80" s="67">
        <f t="shared" si="28"/>
        <v>104.04</v>
      </c>
      <c r="K80" s="67">
        <f t="shared" si="28"/>
        <v>106.1208</v>
      </c>
      <c r="L80" s="67">
        <f t="shared" si="28"/>
        <v>108.243216</v>
      </c>
      <c r="M80" s="67">
        <f t="shared" si="28"/>
        <v>110.40808032000001</v>
      </c>
      <c r="N80" s="67">
        <f t="shared" si="28"/>
        <v>112.61624192640001</v>
      </c>
      <c r="O80" s="54" t="s">
        <v>287</v>
      </c>
    </row>
    <row r="81" spans="1:15" ht="18" customHeight="1" x14ac:dyDescent="0.2">
      <c r="A81" s="79">
        <v>522</v>
      </c>
      <c r="B81" s="208" t="s">
        <v>129</v>
      </c>
      <c r="C81" s="208"/>
      <c r="D81" s="208"/>
      <c r="E81" s="208"/>
      <c r="F81" s="208"/>
      <c r="G81" s="208"/>
      <c r="H81" s="80">
        <v>32500</v>
      </c>
      <c r="I81" s="80">
        <f t="shared" si="28"/>
        <v>33150</v>
      </c>
      <c r="J81" s="80">
        <f t="shared" si="28"/>
        <v>33813</v>
      </c>
      <c r="K81" s="80">
        <f t="shared" si="28"/>
        <v>34489.26</v>
      </c>
      <c r="L81" s="80">
        <f t="shared" si="28"/>
        <v>35179.0452</v>
      </c>
      <c r="M81" s="80">
        <f t="shared" si="28"/>
        <v>35882.626104000003</v>
      </c>
      <c r="N81" s="80">
        <f t="shared" si="28"/>
        <v>36600.278626080006</v>
      </c>
      <c r="O81" s="54" t="s">
        <v>288</v>
      </c>
    </row>
    <row r="82" spans="1:15" ht="12.75" customHeight="1" x14ac:dyDescent="0.2">
      <c r="A82" s="79">
        <v>540</v>
      </c>
      <c r="B82" s="209" t="s">
        <v>130</v>
      </c>
      <c r="C82" s="209"/>
      <c r="D82" s="209"/>
      <c r="E82" s="209"/>
      <c r="F82" s="209"/>
      <c r="G82" s="209"/>
      <c r="H82" s="97">
        <v>17600</v>
      </c>
      <c r="I82" s="67">
        <f t="shared" si="28"/>
        <v>17952</v>
      </c>
      <c r="J82" s="67">
        <f t="shared" si="28"/>
        <v>18311.04</v>
      </c>
      <c r="K82" s="67">
        <f t="shared" si="28"/>
        <v>18677.2608</v>
      </c>
      <c r="L82" s="67">
        <f t="shared" si="28"/>
        <v>19050.806015999999</v>
      </c>
      <c r="M82" s="67">
        <f t="shared" si="28"/>
        <v>19431.822136319999</v>
      </c>
      <c r="N82" s="67">
        <f t="shared" si="28"/>
        <v>19820.458579046401</v>
      </c>
      <c r="O82" s="54" t="s">
        <v>289</v>
      </c>
    </row>
    <row r="83" spans="1:15" ht="13.5" customHeight="1" x14ac:dyDescent="0.2">
      <c r="A83" s="77">
        <v>805</v>
      </c>
      <c r="B83" s="210" t="s">
        <v>131</v>
      </c>
      <c r="C83" s="210"/>
      <c r="D83" s="210"/>
      <c r="E83" s="210"/>
      <c r="F83" s="210"/>
      <c r="G83" s="210"/>
      <c r="H83" s="73"/>
      <c r="I83" s="73"/>
      <c r="J83" s="73"/>
      <c r="K83" s="73"/>
      <c r="L83" s="73"/>
      <c r="M83" s="73"/>
      <c r="N83" s="73"/>
    </row>
    <row r="84" spans="1:15" ht="13.5" customHeight="1" x14ac:dyDescent="0.2">
      <c r="A84" s="63" t="s">
        <v>55</v>
      </c>
      <c r="B84" s="202" t="s">
        <v>132</v>
      </c>
      <c r="C84" s="202"/>
      <c r="D84" s="202"/>
      <c r="E84" s="202"/>
      <c r="F84" s="202"/>
      <c r="G84" s="203"/>
      <c r="H84" s="67">
        <v>500</v>
      </c>
      <c r="I84" s="67">
        <f t="shared" ref="I84:N87" si="29">H84*$N$1</f>
        <v>510</v>
      </c>
      <c r="J84" s="67">
        <f t="shared" si="29"/>
        <v>520.20000000000005</v>
      </c>
      <c r="K84" s="67">
        <f t="shared" si="29"/>
        <v>530.60400000000004</v>
      </c>
      <c r="L84" s="67">
        <f t="shared" si="29"/>
        <v>541.21608000000003</v>
      </c>
      <c r="M84" s="67">
        <f t="shared" si="29"/>
        <v>552.0404016</v>
      </c>
      <c r="N84" s="67">
        <f t="shared" si="29"/>
        <v>563.08120963199997</v>
      </c>
    </row>
    <row r="85" spans="1:15" ht="12.75" customHeight="1" x14ac:dyDescent="0.2">
      <c r="A85" s="63" t="s">
        <v>50</v>
      </c>
      <c r="B85" s="202" t="s">
        <v>133</v>
      </c>
      <c r="C85" s="202"/>
      <c r="D85" s="202"/>
      <c r="E85" s="202"/>
      <c r="F85" s="202"/>
      <c r="G85" s="203"/>
      <c r="H85" s="67">
        <v>0</v>
      </c>
      <c r="I85" s="67">
        <f t="shared" si="29"/>
        <v>0</v>
      </c>
      <c r="J85" s="67">
        <f t="shared" si="29"/>
        <v>0</v>
      </c>
      <c r="K85" s="67">
        <f t="shared" si="29"/>
        <v>0</v>
      </c>
      <c r="L85" s="67">
        <f t="shared" si="29"/>
        <v>0</v>
      </c>
      <c r="M85" s="67">
        <f t="shared" si="29"/>
        <v>0</v>
      </c>
      <c r="N85" s="67">
        <f t="shared" si="29"/>
        <v>0</v>
      </c>
    </row>
    <row r="86" spans="1:15" ht="12.75" customHeight="1" x14ac:dyDescent="0.2">
      <c r="A86" s="63" t="s">
        <v>56</v>
      </c>
      <c r="B86" s="202" t="s">
        <v>134</v>
      </c>
      <c r="C86" s="202"/>
      <c r="D86" s="202"/>
      <c r="E86" s="202"/>
      <c r="F86" s="202"/>
      <c r="G86" s="203"/>
      <c r="H86" s="67">
        <v>540</v>
      </c>
      <c r="I86" s="67">
        <f t="shared" si="29"/>
        <v>550.79999999999995</v>
      </c>
      <c r="J86" s="67">
        <f t="shared" si="29"/>
        <v>561.81599999999992</v>
      </c>
      <c r="K86" s="67">
        <f t="shared" si="29"/>
        <v>573.0523199999999</v>
      </c>
      <c r="L86" s="67">
        <f t="shared" si="29"/>
        <v>584.51336639999988</v>
      </c>
      <c r="M86" s="67">
        <f t="shared" si="29"/>
        <v>596.20363372799989</v>
      </c>
      <c r="N86" s="67">
        <f t="shared" si="29"/>
        <v>608.12770640255985</v>
      </c>
    </row>
    <row r="87" spans="1:15" ht="12.75" customHeight="1" x14ac:dyDescent="0.2">
      <c r="A87" s="63" t="s">
        <v>81</v>
      </c>
      <c r="B87" s="202" t="s">
        <v>135</v>
      </c>
      <c r="C87" s="202"/>
      <c r="D87" s="202"/>
      <c r="E87" s="202"/>
      <c r="F87" s="202"/>
      <c r="G87" s="203"/>
      <c r="H87" s="67">
        <v>1000</v>
      </c>
      <c r="I87" s="67">
        <f t="shared" si="29"/>
        <v>1020</v>
      </c>
      <c r="J87" s="67">
        <f t="shared" si="29"/>
        <v>1040.4000000000001</v>
      </c>
      <c r="K87" s="67">
        <f t="shared" si="29"/>
        <v>1061.2080000000001</v>
      </c>
      <c r="L87" s="67">
        <f t="shared" si="29"/>
        <v>1082.4321600000001</v>
      </c>
      <c r="M87" s="67">
        <f t="shared" si="29"/>
        <v>1104.0808032</v>
      </c>
      <c r="N87" s="67">
        <f t="shared" si="29"/>
        <v>1126.1624192639999</v>
      </c>
    </row>
    <row r="88" spans="1:15" x14ac:dyDescent="0.2">
      <c r="A88" s="70"/>
      <c r="B88" s="204" t="s">
        <v>136</v>
      </c>
      <c r="C88" s="204"/>
      <c r="D88" s="204"/>
      <c r="E88" s="204"/>
      <c r="F88" s="204"/>
      <c r="G88" s="205"/>
      <c r="H88" s="71">
        <f t="shared" ref="H88:N88" si="30">SUM(H83:H87)</f>
        <v>2040</v>
      </c>
      <c r="I88" s="71">
        <f t="shared" si="30"/>
        <v>2080.8000000000002</v>
      </c>
      <c r="J88" s="71">
        <f t="shared" si="30"/>
        <v>2122.4160000000002</v>
      </c>
      <c r="K88" s="71">
        <f t="shared" si="30"/>
        <v>2164.8643200000001</v>
      </c>
      <c r="L88" s="71">
        <f t="shared" si="30"/>
        <v>2208.1616064</v>
      </c>
      <c r="M88" s="71">
        <f t="shared" si="30"/>
        <v>2252.3248385279999</v>
      </c>
      <c r="N88" s="71">
        <f t="shared" si="30"/>
        <v>2297.3713352985596</v>
      </c>
    </row>
    <row r="89" spans="1:15" x14ac:dyDescent="0.2">
      <c r="A89" s="98"/>
      <c r="J89" s="99"/>
      <c r="K89" s="100"/>
      <c r="L89" s="100"/>
      <c r="M89" s="100"/>
      <c r="N89" s="100"/>
    </row>
    <row r="90" spans="1:15" x14ac:dyDescent="0.2">
      <c r="G90" s="55" t="s">
        <v>137</v>
      </c>
      <c r="H90" s="101">
        <f t="shared" ref="H90:M90" si="31">H7+H12+H13+H14+H15+H19+H20+H21+H26+H27+H28+H29+H30+H32+H39+H46+H52+H53+H54+H55+H56+H60+H68+H69+H79+H80+H81+H82+H88+H31</f>
        <v>3144043.5795312002</v>
      </c>
      <c r="I90" s="101">
        <f t="shared" si="31"/>
        <v>3741876.7608610704</v>
      </c>
      <c r="J90" s="101">
        <f t="shared" si="31"/>
        <v>4053749.9093272616</v>
      </c>
      <c r="K90" s="101">
        <f t="shared" si="31"/>
        <v>4305795.1688118773</v>
      </c>
      <c r="L90" s="101">
        <f t="shared" si="31"/>
        <v>4510871.1190208569</v>
      </c>
      <c r="M90" s="101">
        <f t="shared" si="31"/>
        <v>4691876.2015141137</v>
      </c>
      <c r="N90" s="101">
        <f>N7+N12+N13+N14+N15+N19+N20+N21+N26+N27+N28+N29+N30+N32+N39+N46+N52+N53+N54+N55+N56+N60+N68+N69+N79+N80+N81+N82+N88+N31</f>
        <v>4844029.2634742968</v>
      </c>
    </row>
    <row r="91" spans="1:15" x14ac:dyDescent="0.2">
      <c r="G91" s="167" t="s">
        <v>242</v>
      </c>
      <c r="H91" s="168">
        <v>300000</v>
      </c>
      <c r="I91" s="168">
        <v>300000</v>
      </c>
      <c r="J91" s="168">
        <v>300000</v>
      </c>
      <c r="K91" s="168">
        <v>300000</v>
      </c>
      <c r="L91" s="168">
        <v>300000</v>
      </c>
      <c r="M91" s="168">
        <v>300000</v>
      </c>
      <c r="N91" s="168">
        <v>300000</v>
      </c>
    </row>
    <row r="92" spans="1:15" x14ac:dyDescent="0.2">
      <c r="G92" s="55" t="s">
        <v>243</v>
      </c>
      <c r="H92" s="169">
        <f>SUM(H90-H91)</f>
        <v>2844043.5795312002</v>
      </c>
      <c r="I92" s="169">
        <f t="shared" ref="I92:N92" si="32">SUM(I90-I91)</f>
        <v>3441876.7608610704</v>
      </c>
      <c r="J92" s="169">
        <f t="shared" si="32"/>
        <v>3753749.9093272616</v>
      </c>
      <c r="K92" s="169">
        <f t="shared" si="32"/>
        <v>4005795.1688118773</v>
      </c>
      <c r="L92" s="169">
        <f t="shared" si="32"/>
        <v>4210871.1190208569</v>
      </c>
      <c r="M92" s="169">
        <f t="shared" si="32"/>
        <v>4391876.2015141137</v>
      </c>
      <c r="N92" s="169">
        <f t="shared" si="32"/>
        <v>4544029.2634742968</v>
      </c>
    </row>
    <row r="93" spans="1:15" x14ac:dyDescent="0.2">
      <c r="J93" s="74"/>
      <c r="K93" s="74"/>
      <c r="L93" s="72"/>
      <c r="M93" s="72"/>
      <c r="N93" s="72"/>
    </row>
    <row r="94" spans="1:15" ht="15" x14ac:dyDescent="0.35">
      <c r="G94" s="107"/>
      <c r="H94" s="74"/>
      <c r="I94" s="74"/>
      <c r="J94" s="102"/>
      <c r="K94" s="72"/>
      <c r="M94" s="104"/>
    </row>
    <row r="95" spans="1:15" ht="15" x14ac:dyDescent="0.35">
      <c r="J95" s="103"/>
    </row>
    <row r="96" spans="1:15" x14ac:dyDescent="0.2">
      <c r="L96" s="74"/>
      <c r="M96" s="74"/>
      <c r="N96" s="74"/>
    </row>
    <row r="98" spans="11:14" x14ac:dyDescent="0.2">
      <c r="K98" s="72"/>
    </row>
    <row r="100" spans="11:14" x14ac:dyDescent="0.2">
      <c r="L100" s="72"/>
      <c r="M100" s="72"/>
      <c r="N100" s="72"/>
    </row>
  </sheetData>
  <mergeCells count="107">
    <mergeCell ref="B7:G7"/>
    <mergeCell ref="B8:G8"/>
    <mergeCell ref="B9:G9"/>
    <mergeCell ref="B10:G10"/>
    <mergeCell ref="B11:G11"/>
    <mergeCell ref="B12:G12"/>
    <mergeCell ref="B13:G13"/>
    <mergeCell ref="B3:G3"/>
    <mergeCell ref="B4:G4"/>
    <mergeCell ref="B5:G5"/>
    <mergeCell ref="B6:G6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B32:G32"/>
    <mergeCell ref="B33:G33"/>
    <mergeCell ref="B34:G34"/>
    <mergeCell ref="B35:G35"/>
    <mergeCell ref="B36:G36"/>
    <mergeCell ref="B37:G37"/>
    <mergeCell ref="B26:G26"/>
    <mergeCell ref="B27:G27"/>
    <mergeCell ref="B28:G28"/>
    <mergeCell ref="B29:G29"/>
    <mergeCell ref="B30:G30"/>
    <mergeCell ref="B31:G31"/>
    <mergeCell ref="B44:G44"/>
    <mergeCell ref="B45:G45"/>
    <mergeCell ref="B46:G46"/>
    <mergeCell ref="B47:G47"/>
    <mergeCell ref="B48:G48"/>
    <mergeCell ref="B49:G49"/>
    <mergeCell ref="B38:G38"/>
    <mergeCell ref="B39:G39"/>
    <mergeCell ref="B40:G40"/>
    <mergeCell ref="B41:G41"/>
    <mergeCell ref="B42:G42"/>
    <mergeCell ref="B43:G43"/>
    <mergeCell ref="B56:G56"/>
    <mergeCell ref="B57:G57"/>
    <mergeCell ref="B58:G58"/>
    <mergeCell ref="U58:Z58"/>
    <mergeCell ref="AG58:AL58"/>
    <mergeCell ref="AS58:AX58"/>
    <mergeCell ref="B50:G50"/>
    <mergeCell ref="B51:G51"/>
    <mergeCell ref="B52:G52"/>
    <mergeCell ref="B53:G53"/>
    <mergeCell ref="B54:G54"/>
    <mergeCell ref="B55:G55"/>
    <mergeCell ref="IC58:IH58"/>
    <mergeCell ref="IO58:IQ58"/>
    <mergeCell ref="B59:G59"/>
    <mergeCell ref="DY58:ED58"/>
    <mergeCell ref="EK58:EP58"/>
    <mergeCell ref="EW58:FB58"/>
    <mergeCell ref="FI58:FN58"/>
    <mergeCell ref="FU58:FZ58"/>
    <mergeCell ref="GG58:GL58"/>
    <mergeCell ref="BE58:BJ58"/>
    <mergeCell ref="BQ58:BV58"/>
    <mergeCell ref="CC58:CH58"/>
    <mergeCell ref="CO58:CT58"/>
    <mergeCell ref="DA58:DF58"/>
    <mergeCell ref="DM58:DR58"/>
    <mergeCell ref="B60:G60"/>
    <mergeCell ref="B61:G61"/>
    <mergeCell ref="B62:G62"/>
    <mergeCell ref="B63:G63"/>
    <mergeCell ref="B64:G64"/>
    <mergeCell ref="B65:G65"/>
    <mergeCell ref="GS58:GX58"/>
    <mergeCell ref="HE58:HJ58"/>
    <mergeCell ref="HQ58:HV58"/>
    <mergeCell ref="B84:G84"/>
    <mergeCell ref="B85:G85"/>
    <mergeCell ref="B86:G86"/>
    <mergeCell ref="B87:G87"/>
    <mergeCell ref="B88:G88"/>
    <mergeCell ref="H1:L2"/>
    <mergeCell ref="B78:G78"/>
    <mergeCell ref="B79:G79"/>
    <mergeCell ref="B80:G80"/>
    <mergeCell ref="B81:G81"/>
    <mergeCell ref="B82:G82"/>
    <mergeCell ref="B83:G83"/>
    <mergeCell ref="B72:G72"/>
    <mergeCell ref="B73:G73"/>
    <mergeCell ref="B74:G74"/>
    <mergeCell ref="B75:G75"/>
    <mergeCell ref="B76:G76"/>
    <mergeCell ref="B77:G77"/>
    <mergeCell ref="B66:G66"/>
    <mergeCell ref="B67:G67"/>
    <mergeCell ref="B68:G68"/>
    <mergeCell ref="B69:G69"/>
    <mergeCell ref="B70:G70"/>
    <mergeCell ref="B71:G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sqref="A1:L24"/>
    </sheetView>
  </sheetViews>
  <sheetFormatPr defaultRowHeight="15" x14ac:dyDescent="0.25"/>
  <cols>
    <col min="1" max="1" width="25.5703125" customWidth="1"/>
    <col min="2" max="8" width="14.28515625" bestFit="1" customWidth="1"/>
    <col min="10" max="10" width="10.28515625" customWidth="1"/>
  </cols>
  <sheetData>
    <row r="1" spans="1:12" x14ac:dyDescent="0.3">
      <c r="A1" s="162" t="s">
        <v>241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2" x14ac:dyDescent="0.3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2" x14ac:dyDescent="0.3">
      <c r="A3" s="163"/>
      <c r="B3" s="148" t="s">
        <v>145</v>
      </c>
      <c r="C3" s="148" t="s">
        <v>146</v>
      </c>
      <c r="D3" s="148" t="s">
        <v>147</v>
      </c>
      <c r="E3" s="148" t="s">
        <v>148</v>
      </c>
      <c r="F3" s="148" t="s">
        <v>149</v>
      </c>
      <c r="G3" s="148" t="s">
        <v>153</v>
      </c>
      <c r="H3" s="148" t="s">
        <v>150</v>
      </c>
      <c r="I3" s="163"/>
      <c r="J3" s="163"/>
      <c r="K3" s="163"/>
    </row>
    <row r="4" spans="1:12" x14ac:dyDescent="0.3">
      <c r="A4" s="162" t="s">
        <v>154</v>
      </c>
      <c r="B4" s="182">
        <f>SUM('Budget Option A'!H92)</f>
        <v>2790043.5795312002</v>
      </c>
      <c r="C4" s="182">
        <f>SUM('Budget Option A'!I92)</f>
        <v>3404261.1440412304</v>
      </c>
      <c r="D4" s="182">
        <f>SUM('Budget Option A'!J92)</f>
        <v>3711415.3979224609</v>
      </c>
      <c r="E4" s="182">
        <f>SUM('Budget Option A'!K92)</f>
        <v>3957711.4360510772</v>
      </c>
      <c r="F4" s="182">
        <f>SUM('Budget Option A'!L92)</f>
        <v>4158179.9249006566</v>
      </c>
      <c r="G4" s="182">
        <f>SUM('Budget Option A'!M92)</f>
        <v>4335499.0457268199</v>
      </c>
      <c r="H4" s="182">
        <f>SUM('Budget Option A'!N92)</f>
        <v>4483359.5033886442</v>
      </c>
      <c r="I4" s="162" t="s">
        <v>160</v>
      </c>
      <c r="J4" s="163"/>
      <c r="K4" s="163"/>
    </row>
    <row r="5" spans="1:12" x14ac:dyDescent="0.3">
      <c r="A5" s="162" t="s">
        <v>155</v>
      </c>
      <c r="B5" s="182">
        <f>SUM('Budget Option B'!H92)</f>
        <v>2844043.5795312002</v>
      </c>
      <c r="C5" s="182">
        <f>SUM('Budget Option B'!I92)</f>
        <v>3438941.1440412304</v>
      </c>
      <c r="D5" s="182">
        <f>SUM('Budget Option B'!J92)</f>
        <v>3746788.9979224605</v>
      </c>
      <c r="E5" s="182">
        <f>SUM('Budget Option B'!K92)</f>
        <v>3993792.5080510769</v>
      </c>
      <c r="F5" s="182">
        <f>SUM('Budget Option B'!L92)</f>
        <v>4194982.6183406562</v>
      </c>
      <c r="G5" s="182">
        <f>SUM('Budget Option B'!M92)</f>
        <v>4373037.7930356199</v>
      </c>
      <c r="H5" s="182">
        <f>SUM('Budget Option B'!N92)</f>
        <v>4521649.0256436197</v>
      </c>
      <c r="I5" s="162" t="s">
        <v>161</v>
      </c>
      <c r="J5" s="163"/>
      <c r="K5" s="163"/>
    </row>
    <row r="6" spans="1:12" x14ac:dyDescent="0.3">
      <c r="A6" s="162" t="s">
        <v>159</v>
      </c>
      <c r="B6" s="182">
        <f>SUM('Budget Option C'!H92)</f>
        <v>2844043.5795312002</v>
      </c>
      <c r="C6" s="182">
        <f>SUM('Budget Option C'!I92)</f>
        <v>3441876.7608610704</v>
      </c>
      <c r="D6" s="182">
        <f>SUM('Budget Option C'!J92)</f>
        <v>3753749.9093272616</v>
      </c>
      <c r="E6" s="182">
        <f>SUM('Budget Option C'!K92)</f>
        <v>4005795.1688118773</v>
      </c>
      <c r="F6" s="182">
        <f>SUM('Budget Option C'!L92)</f>
        <v>4210871.1190208569</v>
      </c>
      <c r="G6" s="182">
        <f>SUM('Budget Option C'!M92)</f>
        <v>4391876.2015141137</v>
      </c>
      <c r="H6" s="182">
        <f>SUM('Budget Option C'!N92)</f>
        <v>4544029.2634742968</v>
      </c>
      <c r="I6" s="162" t="s">
        <v>162</v>
      </c>
      <c r="J6" s="163"/>
      <c r="K6" s="163"/>
    </row>
    <row r="7" spans="1:12" x14ac:dyDescent="0.3">
      <c r="A7" s="162"/>
      <c r="B7" s="182"/>
      <c r="C7" s="182"/>
      <c r="D7" s="182"/>
      <c r="E7" s="182"/>
      <c r="F7" s="182"/>
      <c r="G7" s="182"/>
      <c r="H7" s="182"/>
      <c r="I7" s="163"/>
      <c r="J7" s="163"/>
      <c r="K7" s="163"/>
    </row>
    <row r="8" spans="1:12" x14ac:dyDescent="0.3">
      <c r="A8" s="162"/>
      <c r="B8" s="164"/>
      <c r="C8" s="164"/>
      <c r="D8" s="164"/>
      <c r="E8" s="164"/>
      <c r="F8" s="164"/>
      <c r="G8" s="164"/>
      <c r="H8" s="165"/>
      <c r="I8" s="163"/>
      <c r="J8" s="163"/>
      <c r="K8" s="163"/>
    </row>
    <row r="11" spans="1:12" x14ac:dyDescent="0.3">
      <c r="A11" s="174" t="s">
        <v>251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6"/>
    </row>
    <row r="12" spans="1:12" x14ac:dyDescent="0.3">
      <c r="A12" s="177" t="s">
        <v>252</v>
      </c>
      <c r="B12" s="171">
        <f>SUM('Budget Option A'!H5,'Budget Option A'!H6,'Budget Option A'!H9,'Budget Option A'!H10)*0.12</f>
        <v>159423.21369599999</v>
      </c>
      <c r="C12" s="171">
        <f>SUM('Budget Option A'!I5,'Budget Option A'!I6,'Budget Option A'!I9,'Budget Option A'!I10)*0.12</f>
        <v>216667.7328</v>
      </c>
      <c r="D12" s="171">
        <f>SUM('Budget Option A'!J5,'Budget Option A'!J6,'Budget Option A'!J9,'Budget Option A'!J10)*0.12</f>
        <v>240494.36159999997</v>
      </c>
      <c r="E12" s="171">
        <f>SUM('Budget Option A'!K5,'Budget Option A'!K6,'Budget Option A'!K9,'Budget Option A'!K10)*0.12</f>
        <v>260766.58079999997</v>
      </c>
      <c r="F12" s="171">
        <f>SUM('Budget Option A'!L5,'Budget Option A'!L6,'Budget Option A'!L9,'Budget Option A'!L10)*0.12</f>
        <v>278025.17015999998</v>
      </c>
      <c r="G12" s="171">
        <f>SUM('Budget Option A'!M5,'Budget Option A'!M6,'Budget Option A'!M9,'Budget Option A'!M10)*0.12</f>
        <v>292342.81917839998</v>
      </c>
      <c r="H12" s="171">
        <f>SUM('Budget Option A'!N5,'Budget Option A'!N6,'Budget Option A'!N9,'Budget Option A'!N10)*0.12</f>
        <v>304456.837535256</v>
      </c>
      <c r="I12" s="2" t="s">
        <v>248</v>
      </c>
      <c r="J12" s="2"/>
      <c r="K12" s="2"/>
      <c r="L12" s="178"/>
    </row>
    <row r="13" spans="1:12" x14ac:dyDescent="0.3">
      <c r="A13" s="177" t="s">
        <v>253</v>
      </c>
      <c r="B13" s="171">
        <f>SUM('Budget Option A'!H5,'Budget Option A'!H6,'Budget Option A'!H9,'Budget Option A'!H10)*0.19</f>
        <v>252420.08835200002</v>
      </c>
      <c r="C13" s="171">
        <f>SUM('Budget Option A'!I5,'Budget Option A'!I6,'Budget Option A'!I9,'Budget Option A'!I10)*0.19</f>
        <v>343057.24359999999</v>
      </c>
      <c r="D13" s="171">
        <f>SUM('Budget Option A'!J5,'Budget Option A'!J6,'Budget Option A'!J9,'Budget Option A'!J10)*0.19</f>
        <v>380782.73920000001</v>
      </c>
      <c r="E13" s="171">
        <f>SUM('Budget Option A'!K5,'Budget Option A'!K6,'Budget Option A'!K9,'Budget Option A'!K10)*0.19</f>
        <v>412880.41959999996</v>
      </c>
      <c r="F13" s="171">
        <f>SUM('Budget Option A'!L5,'Budget Option A'!L6,'Budget Option A'!L9,'Budget Option A'!L10)*0.19</f>
        <v>440206.51942000003</v>
      </c>
      <c r="G13" s="171">
        <f>SUM('Budget Option A'!M5,'Budget Option A'!M6,'Budget Option A'!M9,'Budget Option A'!M10)*0.19</f>
        <v>462876.13036579994</v>
      </c>
      <c r="H13" s="171">
        <f>SUM('Budget Option A'!N5,'Budget Option A'!N6,'Budget Option A'!N9,'Budget Option A'!N10)*0.19</f>
        <v>482056.65943082201</v>
      </c>
      <c r="I13" s="2" t="s">
        <v>249</v>
      </c>
      <c r="J13" s="2"/>
      <c r="K13" s="2"/>
      <c r="L13" s="178"/>
    </row>
    <row r="14" spans="1:12" x14ac:dyDescent="0.3">
      <c r="A14" s="179" t="s">
        <v>254</v>
      </c>
      <c r="B14" s="172">
        <f>SUM('Budget Option A'!H5,'Budget Option A'!H6,'Budget Option A'!H9,'Budget Option A'!H10)*0.08</f>
        <v>106282.142464</v>
      </c>
      <c r="C14" s="172">
        <f>SUM('Budget Option A'!I5,'Budget Option A'!I6,'Budget Option A'!I9,'Budget Option A'!I10)*0.08</f>
        <v>144445.15520000001</v>
      </c>
      <c r="D14" s="172">
        <f>SUM('Budget Option A'!J5,'Budget Option A'!J6,'Budget Option A'!J9,'Budget Option A'!J10)*0.08</f>
        <v>160329.57440000001</v>
      </c>
      <c r="E14" s="172">
        <f>SUM('Budget Option A'!K5,'Budget Option A'!K6,'Budget Option A'!K9,'Budget Option A'!K10)*0.08</f>
        <v>173844.3872</v>
      </c>
      <c r="F14" s="172">
        <f>SUM('Budget Option A'!L5,'Budget Option A'!L6,'Budget Option A'!L9,'Budget Option A'!L10)*0.08</f>
        <v>185350.11344000002</v>
      </c>
      <c r="G14" s="172">
        <f>SUM('Budget Option A'!M5,'Budget Option A'!M6,'Budget Option A'!M9,'Budget Option A'!M10)*0.08</f>
        <v>194895.21278559999</v>
      </c>
      <c r="H14" s="172">
        <f>SUM('Budget Option A'!N5,'Budget Option A'!N6,'Budget Option A'!N9,'Budget Option A'!N10)*0.08</f>
        <v>202971.22502350403</v>
      </c>
      <c r="I14" s="173" t="s">
        <v>250</v>
      </c>
      <c r="J14" s="173"/>
      <c r="K14" s="173"/>
      <c r="L14" s="180"/>
    </row>
    <row r="16" spans="1:12" x14ac:dyDescent="0.3">
      <c r="A16" s="174" t="s">
        <v>255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6"/>
    </row>
    <row r="17" spans="1:12" x14ac:dyDescent="0.3">
      <c r="A17" s="177" t="s">
        <v>252</v>
      </c>
      <c r="B17" s="171">
        <f>SUM('Budget Option B'!H5,'Budget Option B'!H6,'Budget Option B'!H9,'Budget Option B'!H10)*0.12</f>
        <v>159423.21369599999</v>
      </c>
      <c r="C17" s="171">
        <f>SUM('Budget Option B'!I5,'Budget Option B'!I6,'Budget Option B'!I9,'Budget Option B'!I10)*0.12</f>
        <v>216667.7328</v>
      </c>
      <c r="D17" s="171">
        <f>SUM('Budget Option B'!J5,'Budget Option B'!J6,'Budget Option B'!J9,'Budget Option B'!J10)*0.12</f>
        <v>240494.36159999997</v>
      </c>
      <c r="E17" s="171">
        <f>SUM('Budget Option B'!K5,'Budget Option B'!K6,'Budget Option B'!K9,'Budget Option B'!K10)*0.12</f>
        <v>260766.58079999997</v>
      </c>
      <c r="F17" s="171">
        <f>SUM('Budget Option B'!L5,'Budget Option B'!L6,'Budget Option B'!L9,'Budget Option B'!L10)*0.12</f>
        <v>278025.17015999998</v>
      </c>
      <c r="G17" s="171">
        <f>SUM('Budget Option B'!M5,'Budget Option B'!M6,'Budget Option B'!M9,'Budget Option B'!M10)*0.12</f>
        <v>292342.81917839998</v>
      </c>
      <c r="H17" s="171">
        <f>SUM('Budget Option B'!N5,'Budget Option B'!N6,'Budget Option B'!N9,'Budget Option B'!N10)*0.12</f>
        <v>304456.837535256</v>
      </c>
      <c r="I17" s="2" t="s">
        <v>248</v>
      </c>
      <c r="J17" s="2"/>
      <c r="K17" s="2"/>
      <c r="L17" s="178"/>
    </row>
    <row r="18" spans="1:12" x14ac:dyDescent="0.3">
      <c r="A18" s="177" t="s">
        <v>253</v>
      </c>
      <c r="B18" s="171">
        <f>SUM('Budget Option B'!H5,'Budget Option B'!H6,'Budget Option B'!H9,'Budget Option B'!H10)*0.19</f>
        <v>252420.08835200002</v>
      </c>
      <c r="C18" s="171">
        <f>SUM('Budget Option B'!I5,'Budget Option B'!I6,'Budget Option B'!I9,'Budget Option B'!I10)*0.19</f>
        <v>343057.24359999999</v>
      </c>
      <c r="D18" s="171">
        <f>SUM('Budget Option B'!J5,'Budget Option B'!J6,'Budget Option B'!J9,'Budget Option B'!J10)*0.19</f>
        <v>380782.73920000001</v>
      </c>
      <c r="E18" s="171">
        <f>SUM('Budget Option B'!K5,'Budget Option B'!K6,'Budget Option B'!K9,'Budget Option B'!K10)*0.19</f>
        <v>412880.41959999996</v>
      </c>
      <c r="F18" s="171">
        <f>SUM('Budget Option B'!L5,'Budget Option B'!L6,'Budget Option B'!L9,'Budget Option B'!L10)*0.19</f>
        <v>440206.51942000003</v>
      </c>
      <c r="G18" s="171">
        <f>SUM('Budget Option B'!M5,'Budget Option B'!M6,'Budget Option B'!M9,'Budget Option B'!M10)*0.19</f>
        <v>462876.13036579994</v>
      </c>
      <c r="H18" s="171">
        <f>SUM('Budget Option B'!N5,'Budget Option B'!N6,'Budget Option B'!N9,'Budget Option B'!N10)*0.19</f>
        <v>482056.65943082201</v>
      </c>
      <c r="I18" s="2" t="s">
        <v>249</v>
      </c>
      <c r="J18" s="2"/>
      <c r="K18" s="2"/>
      <c r="L18" s="178"/>
    </row>
    <row r="19" spans="1:12" x14ac:dyDescent="0.3">
      <c r="A19" s="179" t="s">
        <v>254</v>
      </c>
      <c r="B19" s="172">
        <f>SUM('Budget Option B'!H5,'Budget Option B'!H6,'Budget Option B'!H9,'Budget Option B'!H10)*0.08</f>
        <v>106282.142464</v>
      </c>
      <c r="C19" s="172">
        <f>SUM('Budget Option B'!I5,'Budget Option B'!I6,'Budget Option B'!I9,'Budget Option B'!I10)*0.08</f>
        <v>144445.15520000001</v>
      </c>
      <c r="D19" s="172">
        <f>SUM('Budget Option B'!J5,'Budget Option B'!J6,'Budget Option B'!J9,'Budget Option B'!J10)*0.08</f>
        <v>160329.57440000001</v>
      </c>
      <c r="E19" s="172">
        <f>SUM('Budget Option B'!K5,'Budget Option B'!K6,'Budget Option B'!K9,'Budget Option B'!K10)*0.08</f>
        <v>173844.3872</v>
      </c>
      <c r="F19" s="172">
        <f>SUM('Budget Option B'!L5,'Budget Option B'!L6,'Budget Option B'!L9,'Budget Option B'!L10)*0.08</f>
        <v>185350.11344000002</v>
      </c>
      <c r="G19" s="172">
        <f>SUM('Budget Option B'!M5,'Budget Option B'!M6,'Budget Option B'!M9,'Budget Option B'!M10)*0.08</f>
        <v>194895.21278559999</v>
      </c>
      <c r="H19" s="172">
        <f>SUM('Budget Option B'!N5,'Budget Option B'!N6,'Budget Option B'!N9,'Budget Option B'!N10)*0.08</f>
        <v>202971.22502350403</v>
      </c>
      <c r="I19" s="173" t="s">
        <v>250</v>
      </c>
      <c r="J19" s="173"/>
      <c r="K19" s="173"/>
      <c r="L19" s="180"/>
    </row>
    <row r="21" spans="1:12" x14ac:dyDescent="0.3">
      <c r="A21" s="174" t="s">
        <v>256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6"/>
    </row>
    <row r="22" spans="1:12" x14ac:dyDescent="0.3">
      <c r="A22" s="177" t="s">
        <v>252</v>
      </c>
      <c r="B22" s="181" t="s">
        <v>257</v>
      </c>
      <c r="C22" s="181" t="s">
        <v>257</v>
      </c>
      <c r="D22" s="181" t="s">
        <v>257</v>
      </c>
      <c r="E22" s="181" t="s">
        <v>257</v>
      </c>
      <c r="F22" s="181" t="s">
        <v>257</v>
      </c>
      <c r="G22" s="181" t="s">
        <v>257</v>
      </c>
      <c r="H22" s="181" t="s">
        <v>257</v>
      </c>
      <c r="I22" s="2" t="s">
        <v>248</v>
      </c>
      <c r="J22" s="2"/>
      <c r="K22" s="2"/>
      <c r="L22" s="178"/>
    </row>
    <row r="23" spans="1:12" x14ac:dyDescent="0.3">
      <c r="A23" s="177" t="s">
        <v>253</v>
      </c>
      <c r="B23" s="181" t="s">
        <v>257</v>
      </c>
      <c r="C23" s="181" t="s">
        <v>257</v>
      </c>
      <c r="D23" s="181" t="s">
        <v>257</v>
      </c>
      <c r="E23" s="181" t="s">
        <v>257</v>
      </c>
      <c r="F23" s="181" t="s">
        <v>257</v>
      </c>
      <c r="G23" s="181" t="s">
        <v>257</v>
      </c>
      <c r="H23" s="181" t="s">
        <v>257</v>
      </c>
      <c r="I23" s="2" t="s">
        <v>249</v>
      </c>
      <c r="J23" s="2"/>
      <c r="K23" s="2"/>
      <c r="L23" s="178"/>
    </row>
    <row r="24" spans="1:12" x14ac:dyDescent="0.3">
      <c r="A24" s="179" t="s">
        <v>254</v>
      </c>
      <c r="B24" s="172">
        <f>SUM('Budget Option C'!H5,'Budget Option C'!H6,'Budget Option C'!H9,'Budget Option C'!H10)*0.08</f>
        <v>106282.142464</v>
      </c>
      <c r="C24" s="172">
        <f>SUM('Budget Option C'!I5,'Budget Option C'!I6,'Budget Option C'!I9,'Budget Option C'!I10)*0.08</f>
        <v>144656.00934399999</v>
      </c>
      <c r="D24" s="172">
        <f>SUM('Budget Option C'!J5,'Budget Option C'!J6,'Budget Option C'!J9,'Budget Option C'!J10)*0.08</f>
        <v>160829.55007999999</v>
      </c>
      <c r="E24" s="172">
        <f>SUM('Budget Option C'!K5,'Budget Option C'!K6,'Budget Option C'!K9,'Budget Option C'!K10)*0.08</f>
        <v>174706.49248000004</v>
      </c>
      <c r="F24" s="172">
        <f>SUM('Budget Option C'!L5,'Budget Option C'!L6,'Budget Option C'!L9,'Budget Option C'!L10)*0.08</f>
        <v>186491.32376000003</v>
      </c>
      <c r="G24" s="172">
        <f>SUM('Budget Option C'!M5,'Budget Option C'!M6,'Budget Option C'!M9,'Budget Option C'!M10)*0.08</f>
        <v>196248.30371599999</v>
      </c>
      <c r="H24" s="172">
        <f>SUM('Budget Option C'!N5,'Budget Option C'!N6,'Budget Option C'!N9,'Budget Option C'!N10)*0.08</f>
        <v>204578.71202876003</v>
      </c>
      <c r="I24" s="173" t="s">
        <v>250</v>
      </c>
      <c r="J24" s="173"/>
      <c r="K24" s="173"/>
      <c r="L24" s="180"/>
    </row>
  </sheetData>
  <phoneticPr fontId="7" type="noConversion"/>
  <pageMargins left="0.7" right="0.7" top="0.75" bottom="0.75" header="0.3" footer="0.3"/>
  <pageSetup scale="75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7-Day PP (40 Hour WW)</vt:lpstr>
      <vt:lpstr>28-Day PP (7k)</vt:lpstr>
      <vt:lpstr>Budget Option A</vt:lpstr>
      <vt:lpstr>Budget Option B</vt:lpstr>
      <vt:lpstr>Budget Option C</vt:lpstr>
      <vt:lpstr>A, B, &amp; C Differences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JMumper</dc:creator>
  <cp:lastModifiedBy>Vicky Fay</cp:lastModifiedBy>
  <cp:lastPrinted>2020-11-04T14:53:16Z</cp:lastPrinted>
  <dcterms:created xsi:type="dcterms:W3CDTF">2020-06-30T17:19:57Z</dcterms:created>
  <dcterms:modified xsi:type="dcterms:W3CDTF">2020-11-08T20:32:25Z</dcterms:modified>
</cp:coreProperties>
</file>